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bcgcloud.sharepoint.com/sites/254626-76/Shared Documents/06 Deliverables/2 - Measurement Plan/02. Measurement plan v2/2. ROI calculator/"/>
    </mc:Choice>
  </mc:AlternateContent>
  <xr:revisionPtr revIDLastSave="89" documentId="8_{C0829D71-C495-4A26-A93C-226F0B731CA9}" xr6:coauthVersionLast="47" xr6:coauthVersionMax="47" xr10:uidLastSave="{A4095AEF-6D81-4D26-A47F-55A8221F28C8}"/>
  <bookViews>
    <workbookView xWindow="28680" yWindow="-120" windowWidth="29040" windowHeight="15840" activeTab="7" xr2:uid="{617B093D-8629-4DE1-A6D3-BCA6F004759B}"/>
  </bookViews>
  <sheets>
    <sheet name="INSTRUCTIONS" sheetId="18" r:id="rId1"/>
    <sheet name="OVERVIEW" sheetId="5" r:id="rId2"/>
    <sheet name="OUTPUTS" sheetId="3" r:id="rId3"/>
    <sheet name="CALCULATIONS" sheetId="8" r:id="rId4"/>
    <sheet name="INPUTS&amp;ASSUMPTIONS-&gt;" sheetId="16" r:id="rId5"/>
    <sheet name="Assumptions" sheetId="2" r:id="rId6"/>
    <sheet name="Inputs" sheetId="17" r:id="rId7"/>
    <sheet name="Survey input_Retention" sheetId="11" r:id="rId8"/>
    <sheet name="Survey input_Productivity_A" sheetId="13" r:id="rId9"/>
    <sheet name="Survey input_Productivity_B" sheetId="20" r:id="rId10"/>
  </sheets>
  <externalReferences>
    <externalReference r:id="rId11"/>
    <externalReference r:id="rId12"/>
    <externalReference r:id="rId13"/>
    <externalReference r:id="rId14"/>
  </externalReferences>
  <definedNames>
    <definedName name="_bdm.b8e7eb76869347159b4f05b92e3dad9d.edm" hidden="1">#REF!</definedName>
    <definedName name="_bdm.FastTrackBookmark.2_2_2023_2_45_21_PM.edm" hidden="1">#REF!</definedName>
    <definedName name="_bdm.FastTrackBookmark.2_2_2023_4_59_51_PM.edm" hidden="1">#REF!</definedName>
    <definedName name="_bdm.FastTrackBookmark.2_3_2023_3_53_39_PM.edm" hidden="1">'[1]Scenario Toggle'!#REF!</definedName>
    <definedName name="_bdm.FastTrackBookmark.2_6_2023_8_41_19_AM.edm" hidden="1">'[1]Scenario Toggle'!#REF!</definedName>
    <definedName name="_bdm.FastTrackBookmark.3_22_2023_4_40_02_PM.edm" hidden="1">'[1]Scenario Toggle'!#REF!</definedName>
    <definedName name="CapexThrottle_">'[1]Scenario Toggle'!$C$126:$C$131</definedName>
    <definedName name="CapexThrottleYr_">'[1]Scenario Toggle'!$B$126:$B$131</definedName>
    <definedName name="CashInt_">'[1]Scenario Toggle'!$C$12</definedName>
    <definedName name="CIQWBGuid" hidden="1">"7b1d54aa-9347-4aea-a978-b96a287d7455"</definedName>
    <definedName name="Circ_Toggle">'[1]Financial Model - Annual'!$E$6</definedName>
    <definedName name="CreatedFor">#REF!</definedName>
    <definedName name="CreatedForTitle">#REF!</definedName>
    <definedName name="DAGrowth_">'[1]Scenario Toggle'!$C$8</definedName>
    <definedName name="DBType">[2]Lists!$W$2</definedName>
    <definedName name="ExchConvList">[2]Lists!$W$29:$W$31</definedName>
    <definedName name="ExchConvMethod">[2]Lists!$W$12</definedName>
    <definedName name="FCFBase_">'[1]Scenario Toggle'!$C$29:$C$35</definedName>
    <definedName name="FCFBaseYr_">'[1]Scenario Toggle'!$B$29:$B$35</definedName>
    <definedName name="ImportFileList">[2]Lists!$Y$6:$Y$506</definedName>
    <definedName name="Inorg_DA">'[1]Scenario Toggle'!$C$9</definedName>
    <definedName name="InorganicGrowth_">'[1]Scenario Toggle'!$C$11</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110000</definedName>
    <definedName name="IQ_CHANGE_AP_BR" hidden="1">"c135"</definedName>
    <definedName name="IQ_CHANGE_AR_BR" hidden="1">"c142"</definedName>
    <definedName name="IQ_CHANGE_OTHER_WORK_CAP_BR" hidden="1">"c154"</definedName>
    <definedName name="IQ_COMMON_APIC_BR" hidden="1">"c185"</definedName>
    <definedName name="IQ_COMMON_ISSUED_BR" hidden="1">"c199"</definedName>
    <definedName name="IQ_COMMON_REP_BR" hidden="1">"c208"</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hidden="1">45281.8369907407</definedName>
    <definedName name="IQ_NET_DEBT_ISSUED_BR" hidden="1">"c753"</definedName>
    <definedName name="IQ_NET_INT_INC_BR" hidden="1">"c765"</definedName>
    <definedName name="IQ_NTM">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REF_ISSUED_BR" hidden="1">"c1047"</definedName>
    <definedName name="IQ_PREF_OTHER_BR" hidden="1">"c1055"</definedName>
    <definedName name="IQ_PREF_REP_BR" hidden="1">"c1062"</definedName>
    <definedName name="IQ_QTD" hidden="1">750000</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JLLTogg_Tot">#REF!</definedName>
    <definedName name="MAAlloc_">'[1]Scenario Toggle'!$C$95:$C$99</definedName>
    <definedName name="MAAllocSeg_">'[1]Scenario Toggle'!$B$95:$B$99</definedName>
    <definedName name="MAMultiple_">'[1]Scenario Toggle'!$C$101:$C$104</definedName>
    <definedName name="MAMultipleSeg_">'[1]Scenario Toggle'!$B$101:$B$104</definedName>
    <definedName name="MASpend_">'[1]Scenario Toggle'!$C$87:$C$93</definedName>
    <definedName name="MASpendYr_">'[1]Scenario Toggle'!$B$87:$B$93</definedName>
    <definedName name="million">[3]Assumptions!$C$145</definedName>
    <definedName name="NewDebtIssue_">'[1]Scenario Toggle'!$C$145:$C$151</definedName>
    <definedName name="NewDebtIssueYr_">'[1]Scenario Toggle'!$B$145:$B$151</definedName>
    <definedName name="NWCImp_">'[1]Scenario Toggle'!$C$37:$C$43</definedName>
    <definedName name="NWCImpYr_">'[1]Scenario Toggle'!$B$37:$B$43</definedName>
    <definedName name="oceana">[3]Assumptions!$D$18</definedName>
    <definedName name="PJMOwnership_">'[1]Scenario Toggle'!$C$10</definedName>
    <definedName name="RepoMultiple_">'[1]Scenario Toggle'!$C$115:$C$119</definedName>
    <definedName name="RepoMultipleYr_">'[1]Scenario Toggle'!$B$115:$B$119</definedName>
    <definedName name="ReportCurrency">[2]Lists!$W$11</definedName>
    <definedName name="ReportList">[2]Lists!$BP$6:$BP$350</definedName>
    <definedName name="ReportPdList">[2]Lists!$W$25:$W$27</definedName>
    <definedName name="ReportPdPtr">[2]Lists!$W$24</definedName>
    <definedName name="ReportTemplateList">[2]Lists!$BT$2:$BT$6</definedName>
    <definedName name="RepoSpend_">'[1]Scenario Toggle'!$C$108:$C$113</definedName>
    <definedName name="RepoSpendYear_">'[1]Scenario Toggle'!$B$108:$B$113</definedName>
    <definedName name="RptListFmt">[2]Lists!$BP$2</definedName>
    <definedName name="RptListPtr">[2]Lists!$BP$3</definedName>
    <definedName name="startPrio">[3]Assumptions!$D$6</definedName>
    <definedName name="Synergies_">'[1]Scenario Toggle'!$C$18:$C$24</definedName>
    <definedName name="SynergiesYr_">'[1]Scenario Toggle'!$B$18:$B$24</definedName>
    <definedName name="TaxRate_">'[1]Scenario Toggle'!$C$7</definedName>
    <definedName name="ThruCycleGrowth_">'[1]Scenario Toggle'!$C$52:$C$82</definedName>
    <definedName name="ThruCycleLOB_">'[1]Scenario Toggle'!$B$52:$B$82</definedName>
    <definedName name="ThundTogg">'[4]Summary - New'!$Q$8</definedName>
    <definedName name="wrn.print." hidden="1">{"detail",#N/A,FALSE,"CNTRIB95"}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3" i="20" l="1"/>
  <c r="D84" i="20"/>
  <c r="D85" i="20"/>
  <c r="H85" i="20" s="1"/>
  <c r="D86" i="20"/>
  <c r="H86" i="20" s="1"/>
  <c r="D87" i="20"/>
  <c r="H87" i="20" s="1"/>
  <c r="D47" i="20"/>
  <c r="D48" i="20"/>
  <c r="H48" i="20" s="1"/>
  <c r="D49" i="20"/>
  <c r="D50" i="20"/>
  <c r="H50" i="20" s="1"/>
  <c r="D51" i="20"/>
  <c r="H51" i="20" s="1"/>
  <c r="D46" i="20"/>
  <c r="H46" i="20" s="1"/>
  <c r="D82" i="13"/>
  <c r="D83" i="13"/>
  <c r="D84" i="13"/>
  <c r="D85" i="13"/>
  <c r="D86" i="13"/>
  <c r="D46" i="13"/>
  <c r="D47" i="13"/>
  <c r="D48" i="13"/>
  <c r="D49" i="13"/>
  <c r="D50" i="13"/>
  <c r="D45" i="13"/>
  <c r="C5" i="3"/>
  <c r="C5" i="8"/>
  <c r="C4" i="8"/>
  <c r="J87" i="20"/>
  <c r="J86" i="20"/>
  <c r="J85" i="20"/>
  <c r="J84" i="20"/>
  <c r="H84" i="20"/>
  <c r="J83" i="20"/>
  <c r="H83" i="20"/>
  <c r="J82" i="20"/>
  <c r="D82" i="20"/>
  <c r="H82" i="20" s="1"/>
  <c r="J81" i="20"/>
  <c r="D81" i="20"/>
  <c r="H81" i="20" s="1"/>
  <c r="J80" i="20"/>
  <c r="D80" i="20"/>
  <c r="H80" i="20" s="1"/>
  <c r="J79" i="20"/>
  <c r="D79" i="20"/>
  <c r="H79" i="20" s="1"/>
  <c r="J78" i="20"/>
  <c r="D78" i="20"/>
  <c r="H78" i="20" s="1"/>
  <c r="J77" i="20"/>
  <c r="D77" i="20"/>
  <c r="H77" i="20" s="1"/>
  <c r="J76" i="20"/>
  <c r="D76" i="20"/>
  <c r="H76" i="20" s="1"/>
  <c r="J75" i="20"/>
  <c r="D75" i="20"/>
  <c r="H75" i="20" s="1"/>
  <c r="J74" i="20"/>
  <c r="D74" i="20"/>
  <c r="H74" i="20" s="1"/>
  <c r="J73" i="20"/>
  <c r="D73" i="20"/>
  <c r="H73" i="20" s="1"/>
  <c r="J72" i="20"/>
  <c r="D72" i="20"/>
  <c r="H72" i="20" s="1"/>
  <c r="J71" i="20"/>
  <c r="D71" i="20"/>
  <c r="H71" i="20" s="1"/>
  <c r="J70" i="20"/>
  <c r="D70" i="20"/>
  <c r="H70" i="20" s="1"/>
  <c r="J69" i="20"/>
  <c r="D69" i="20"/>
  <c r="H69" i="20" s="1"/>
  <c r="J68" i="20"/>
  <c r="D68" i="20"/>
  <c r="H68" i="20" s="1"/>
  <c r="J67" i="20"/>
  <c r="D67" i="20"/>
  <c r="H67" i="20" s="1"/>
  <c r="J66" i="20"/>
  <c r="D66" i="20"/>
  <c r="H66" i="20" s="1"/>
  <c r="J65" i="20"/>
  <c r="D65" i="20"/>
  <c r="H65" i="20" s="1"/>
  <c r="J64" i="20"/>
  <c r="D64" i="20"/>
  <c r="H64" i="20" s="1"/>
  <c r="J63" i="20"/>
  <c r="D63" i="20"/>
  <c r="H63" i="20" s="1"/>
  <c r="J62" i="20"/>
  <c r="D62" i="20"/>
  <c r="H62" i="20" s="1"/>
  <c r="J61" i="20"/>
  <c r="D61" i="20"/>
  <c r="H61" i="20" s="1"/>
  <c r="J60" i="20"/>
  <c r="D60" i="20"/>
  <c r="H60" i="20" s="1"/>
  <c r="J59" i="20"/>
  <c r="D59" i="20"/>
  <c r="H59" i="20" s="1"/>
  <c r="J58" i="20"/>
  <c r="D58" i="20"/>
  <c r="H58" i="20" s="1"/>
  <c r="J57" i="20"/>
  <c r="D57" i="20"/>
  <c r="H57" i="20" s="1"/>
  <c r="J56" i="20"/>
  <c r="D56" i="20"/>
  <c r="H56" i="20" s="1"/>
  <c r="J55" i="20"/>
  <c r="D55" i="20"/>
  <c r="H55" i="20" s="1"/>
  <c r="J54" i="20"/>
  <c r="D54" i="20"/>
  <c r="H54" i="20" s="1"/>
  <c r="J53" i="20"/>
  <c r="D53" i="20"/>
  <c r="H53" i="20" s="1"/>
  <c r="J52" i="20"/>
  <c r="D52" i="20"/>
  <c r="H52" i="20" s="1"/>
  <c r="J51" i="20"/>
  <c r="J50" i="20"/>
  <c r="J49" i="20"/>
  <c r="H49" i="20"/>
  <c r="J48" i="20"/>
  <c r="J47" i="20"/>
  <c r="H47" i="20"/>
  <c r="J46" i="20"/>
  <c r="J45" i="20"/>
  <c r="D45" i="20"/>
  <c r="H45" i="20" s="1"/>
  <c r="J44" i="20"/>
  <c r="D44" i="20"/>
  <c r="H44" i="20" s="1"/>
  <c r="J43" i="20"/>
  <c r="D43" i="20"/>
  <c r="H43" i="20" s="1"/>
  <c r="J42" i="20"/>
  <c r="D42" i="20"/>
  <c r="H42" i="20" s="1"/>
  <c r="J41" i="20"/>
  <c r="D41" i="20"/>
  <c r="H41" i="20" s="1"/>
  <c r="J40" i="20"/>
  <c r="D40" i="20"/>
  <c r="H40" i="20" s="1"/>
  <c r="J39" i="20"/>
  <c r="D39" i="20"/>
  <c r="H39" i="20" s="1"/>
  <c r="J38" i="20"/>
  <c r="D38" i="20"/>
  <c r="H38" i="20" s="1"/>
  <c r="J37" i="20"/>
  <c r="D37" i="20"/>
  <c r="H37" i="20" s="1"/>
  <c r="J36" i="20"/>
  <c r="D36" i="20"/>
  <c r="H36" i="20" s="1"/>
  <c r="J35" i="20"/>
  <c r="D35" i="20"/>
  <c r="H35" i="20" s="1"/>
  <c r="J34" i="20"/>
  <c r="D34" i="20"/>
  <c r="H34" i="20" s="1"/>
  <c r="J33" i="20"/>
  <c r="D33" i="20"/>
  <c r="H33" i="20" s="1"/>
  <c r="J32" i="20"/>
  <c r="D32" i="20"/>
  <c r="H32" i="20" s="1"/>
  <c r="J31" i="20"/>
  <c r="D31" i="20"/>
  <c r="H31" i="20" s="1"/>
  <c r="J30" i="20"/>
  <c r="D30" i="20"/>
  <c r="H30" i="20" s="1"/>
  <c r="J29" i="20"/>
  <c r="D29" i="20"/>
  <c r="H29" i="20" s="1"/>
  <c r="J28" i="20"/>
  <c r="D28" i="20"/>
  <c r="H28" i="20" s="1"/>
  <c r="J27" i="20"/>
  <c r="D27" i="20"/>
  <c r="H27" i="20" s="1"/>
  <c r="J26" i="20"/>
  <c r="D26" i="20"/>
  <c r="H26" i="20" s="1"/>
  <c r="J25" i="20"/>
  <c r="D25" i="20"/>
  <c r="H25" i="20" s="1"/>
  <c r="J24" i="20"/>
  <c r="D24" i="20"/>
  <c r="H24" i="20" s="1"/>
  <c r="J23" i="20"/>
  <c r="D23" i="20"/>
  <c r="H23" i="20" s="1"/>
  <c r="J22" i="20"/>
  <c r="D22" i="20"/>
  <c r="H22" i="20" s="1"/>
  <c r="J21" i="20"/>
  <c r="D21" i="20"/>
  <c r="H21" i="20" s="1"/>
  <c r="J20" i="20"/>
  <c r="D20" i="20"/>
  <c r="H20" i="20" s="1"/>
  <c r="J19" i="20"/>
  <c r="D19" i="20"/>
  <c r="H19" i="20" s="1"/>
  <c r="J18" i="20"/>
  <c r="D18" i="20"/>
  <c r="H18" i="20" s="1"/>
  <c r="J17" i="20"/>
  <c r="D17" i="20"/>
  <c r="H17" i="20" s="1"/>
  <c r="J16" i="20"/>
  <c r="D16" i="20"/>
  <c r="H16" i="20" s="1"/>
  <c r="D37" i="11"/>
  <c r="D31" i="11"/>
  <c r="D25" i="11"/>
  <c r="D19" i="11"/>
  <c r="D36" i="11"/>
  <c r="D30" i="11"/>
  <c r="D24" i="11"/>
  <c r="D18" i="11"/>
  <c r="D35" i="11"/>
  <c r="D29" i="11"/>
  <c r="D23" i="11"/>
  <c r="D17" i="11"/>
  <c r="D34" i="11"/>
  <c r="D28" i="11"/>
  <c r="D22" i="11"/>
  <c r="D16" i="11"/>
  <c r="D33" i="11"/>
  <c r="D27" i="11"/>
  <c r="D21" i="11"/>
  <c r="D15" i="11"/>
  <c r="D32" i="11"/>
  <c r="D26" i="11"/>
  <c r="D20" i="11"/>
  <c r="D14" i="11"/>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C6" i="8" l="1"/>
  <c r="C11" i="8" s="1"/>
  <c r="J86" i="13"/>
  <c r="H86" i="13"/>
  <c r="I86" i="13" s="1"/>
  <c r="J85" i="13"/>
  <c r="H85" i="13"/>
  <c r="I85" i="13" s="1"/>
  <c r="J84" i="13"/>
  <c r="H84" i="13"/>
  <c r="I84" i="13" s="1"/>
  <c r="J83" i="13"/>
  <c r="H83" i="13"/>
  <c r="I83" i="13" s="1"/>
  <c r="J82" i="13"/>
  <c r="H82" i="13"/>
  <c r="I82" i="13" s="1"/>
  <c r="J81" i="13"/>
  <c r="H81" i="13"/>
  <c r="I81" i="13" s="1"/>
  <c r="J80" i="13"/>
  <c r="H80" i="13"/>
  <c r="I80" i="13" s="1"/>
  <c r="J79" i="13"/>
  <c r="H79" i="13"/>
  <c r="I79" i="13" s="1"/>
  <c r="J78" i="13"/>
  <c r="H78" i="13"/>
  <c r="I78" i="13" s="1"/>
  <c r="J77" i="13"/>
  <c r="H77" i="13"/>
  <c r="I77" i="13" s="1"/>
  <c r="J76" i="13"/>
  <c r="H76" i="13"/>
  <c r="I76" i="13" s="1"/>
  <c r="J75" i="13"/>
  <c r="H75" i="13"/>
  <c r="I75" i="13" s="1"/>
  <c r="J74" i="13"/>
  <c r="H74" i="13"/>
  <c r="I74" i="13" s="1"/>
  <c r="J73" i="13"/>
  <c r="H73" i="13"/>
  <c r="I73" i="13" s="1"/>
  <c r="J72" i="13"/>
  <c r="H72" i="13"/>
  <c r="I72" i="13" s="1"/>
  <c r="J71" i="13"/>
  <c r="H71" i="13"/>
  <c r="I71" i="13" s="1"/>
  <c r="J70" i="13"/>
  <c r="H70" i="13"/>
  <c r="I70" i="13" s="1"/>
  <c r="J69" i="13"/>
  <c r="H69" i="13"/>
  <c r="I69" i="13" s="1"/>
  <c r="J68" i="13"/>
  <c r="H68" i="13"/>
  <c r="I68" i="13" s="1"/>
  <c r="J67" i="13"/>
  <c r="H67" i="13"/>
  <c r="I67" i="13" s="1"/>
  <c r="J66" i="13"/>
  <c r="H66" i="13"/>
  <c r="I66" i="13" s="1"/>
  <c r="J65" i="13"/>
  <c r="H65" i="13"/>
  <c r="I65" i="13" s="1"/>
  <c r="J64" i="13"/>
  <c r="H64" i="13"/>
  <c r="I64" i="13" s="1"/>
  <c r="J63" i="13"/>
  <c r="H63" i="13"/>
  <c r="I63" i="13" s="1"/>
  <c r="J62" i="13"/>
  <c r="H62" i="13"/>
  <c r="I62" i="13" s="1"/>
  <c r="J61" i="13"/>
  <c r="H61" i="13"/>
  <c r="I61" i="13" s="1"/>
  <c r="J60" i="13"/>
  <c r="H60" i="13"/>
  <c r="I60" i="13" s="1"/>
  <c r="J59" i="13"/>
  <c r="H59" i="13"/>
  <c r="I59" i="13" s="1"/>
  <c r="J58" i="13"/>
  <c r="H58" i="13"/>
  <c r="I58" i="13" s="1"/>
  <c r="J57" i="13"/>
  <c r="H57" i="13"/>
  <c r="I57" i="13" s="1"/>
  <c r="J56" i="13"/>
  <c r="H56" i="13"/>
  <c r="I56" i="13" s="1"/>
  <c r="J55" i="13"/>
  <c r="H55" i="13"/>
  <c r="I55" i="13" s="1"/>
  <c r="J54" i="13"/>
  <c r="H54" i="13"/>
  <c r="I54" i="13" s="1"/>
  <c r="J53" i="13"/>
  <c r="H53" i="13"/>
  <c r="I53" i="13" s="1"/>
  <c r="J52" i="13"/>
  <c r="H52" i="13"/>
  <c r="I52" i="13" s="1"/>
  <c r="J51" i="13"/>
  <c r="H51" i="13"/>
  <c r="I51" i="13" s="1"/>
  <c r="L81" i="13" l="1"/>
  <c r="M81" i="13" s="1"/>
  <c r="L80" i="13"/>
  <c r="M80" i="13" s="1"/>
  <c r="L86" i="13"/>
  <c r="M86" i="13" s="1"/>
  <c r="L53" i="13"/>
  <c r="M53" i="13" s="1"/>
  <c r="L59" i="13"/>
  <c r="M59" i="13" s="1"/>
  <c r="L65" i="13"/>
  <c r="M65" i="13" s="1"/>
  <c r="L71" i="13"/>
  <c r="M71" i="13" s="1"/>
  <c r="L77" i="13"/>
  <c r="M77" i="13" s="1"/>
  <c r="L83" i="13"/>
  <c r="M83" i="13" s="1"/>
  <c r="L55" i="13"/>
  <c r="M55" i="13" s="1"/>
  <c r="L61" i="13"/>
  <c r="M61" i="13" s="1"/>
  <c r="L67" i="13"/>
  <c r="M67" i="13" s="1"/>
  <c r="L73" i="13"/>
  <c r="M73" i="13" s="1"/>
  <c r="L79" i="13"/>
  <c r="M79" i="13" s="1"/>
  <c r="L85" i="13"/>
  <c r="M85" i="13" s="1"/>
  <c r="L52" i="13"/>
  <c r="M52" i="13" s="1"/>
  <c r="L64" i="13"/>
  <c r="M64" i="13" s="1"/>
  <c r="L70" i="13"/>
  <c r="M70" i="13" s="1"/>
  <c r="L76" i="13"/>
  <c r="M76" i="13" s="1"/>
  <c r="L54" i="13"/>
  <c r="M54" i="13" s="1"/>
  <c r="L60" i="13"/>
  <c r="M60" i="13" s="1"/>
  <c r="L78" i="13"/>
  <c r="M78" i="13" s="1"/>
  <c r="L84" i="13"/>
  <c r="M84" i="13" s="1"/>
  <c r="L68" i="13"/>
  <c r="M68" i="13" s="1"/>
  <c r="L74" i="13"/>
  <c r="M74" i="13" s="1"/>
  <c r="L51" i="13"/>
  <c r="M51" i="13" s="1"/>
  <c r="L57" i="13"/>
  <c r="M57" i="13" s="1"/>
  <c r="L63" i="13"/>
  <c r="M63" i="13" s="1"/>
  <c r="L69" i="13"/>
  <c r="M69" i="13" s="1"/>
  <c r="L75" i="13"/>
  <c r="M75" i="13" s="1"/>
  <c r="L56" i="13"/>
  <c r="M56" i="13" s="1"/>
  <c r="L62" i="13"/>
  <c r="M62" i="13" s="1"/>
  <c r="L66" i="13"/>
  <c r="M66" i="13" s="1"/>
  <c r="L72" i="13"/>
  <c r="M72" i="13" s="1"/>
  <c r="L82" i="13"/>
  <c r="M82" i="13" s="1"/>
  <c r="L58" i="13"/>
  <c r="M58" i="13" s="1"/>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15" i="13"/>
  <c r="H15" i="13"/>
  <c r="I15" i="13" s="1"/>
  <c r="H16" i="13"/>
  <c r="I16" i="13" s="1"/>
  <c r="H17" i="13"/>
  <c r="I17" i="13" s="1"/>
  <c r="H18" i="13"/>
  <c r="I18" i="13" s="1"/>
  <c r="H19" i="13"/>
  <c r="I19" i="13" s="1"/>
  <c r="L19" i="13" s="1"/>
  <c r="M19" i="13" s="1"/>
  <c r="H20" i="13"/>
  <c r="I20" i="13" s="1"/>
  <c r="H21" i="13"/>
  <c r="I21" i="13" s="1"/>
  <c r="H22" i="13"/>
  <c r="I22" i="13" s="1"/>
  <c r="H23" i="13"/>
  <c r="I23" i="13" s="1"/>
  <c r="H24" i="13"/>
  <c r="I24" i="13" s="1"/>
  <c r="H25" i="13"/>
  <c r="I25" i="13" s="1"/>
  <c r="H26" i="13"/>
  <c r="I26" i="13" s="1"/>
  <c r="H27" i="13"/>
  <c r="I27" i="13" s="1"/>
  <c r="H28" i="13"/>
  <c r="I28" i="13" s="1"/>
  <c r="H29" i="13"/>
  <c r="I29" i="13" s="1"/>
  <c r="H30" i="13"/>
  <c r="I30" i="13" s="1"/>
  <c r="H31" i="13"/>
  <c r="I31" i="13" s="1"/>
  <c r="L31" i="13" s="1"/>
  <c r="M31" i="13" s="1"/>
  <c r="H32" i="13"/>
  <c r="I32" i="13" s="1"/>
  <c r="H33" i="13"/>
  <c r="I33" i="13" s="1"/>
  <c r="H34" i="13"/>
  <c r="I34" i="13" s="1"/>
  <c r="H35" i="13"/>
  <c r="I35" i="13" s="1"/>
  <c r="H36" i="13"/>
  <c r="I36" i="13" s="1"/>
  <c r="H37" i="13"/>
  <c r="I37" i="13" s="1"/>
  <c r="H38" i="13"/>
  <c r="I38" i="13" s="1"/>
  <c r="H39" i="13"/>
  <c r="I39" i="13" s="1"/>
  <c r="H40" i="13"/>
  <c r="I40" i="13" s="1"/>
  <c r="H41" i="13"/>
  <c r="I41" i="13" s="1"/>
  <c r="H42" i="13"/>
  <c r="I42" i="13" s="1"/>
  <c r="H43" i="13"/>
  <c r="I43" i="13" s="1"/>
  <c r="L43" i="13" s="1"/>
  <c r="M43" i="13" s="1"/>
  <c r="H44" i="13"/>
  <c r="I44" i="13" s="1"/>
  <c r="H45" i="13"/>
  <c r="I45" i="13" s="1"/>
  <c r="H46" i="13"/>
  <c r="I46" i="13" s="1"/>
  <c r="H47" i="13"/>
  <c r="I47" i="13" s="1"/>
  <c r="H48" i="13"/>
  <c r="I48" i="13" s="1"/>
  <c r="H49" i="13"/>
  <c r="I49" i="13" s="1"/>
  <c r="H50" i="13"/>
  <c r="I50" i="13" s="1"/>
  <c r="I15" i="11"/>
  <c r="I16" i="11"/>
  <c r="I17" i="11"/>
  <c r="I18" i="11"/>
  <c r="I19" i="11"/>
  <c r="I20" i="11"/>
  <c r="I21" i="11"/>
  <c r="I22" i="11"/>
  <c r="I23" i="11"/>
  <c r="I24" i="11"/>
  <c r="I25" i="11"/>
  <c r="I26" i="11"/>
  <c r="I27" i="11"/>
  <c r="I28" i="11"/>
  <c r="I29" i="11"/>
  <c r="I30" i="11"/>
  <c r="I31" i="11"/>
  <c r="I32" i="11"/>
  <c r="I33" i="11"/>
  <c r="I34" i="11"/>
  <c r="I35" i="11"/>
  <c r="I36" i="11"/>
  <c r="I37" i="11"/>
  <c r="I14" i="11"/>
  <c r="H15" i="11"/>
  <c r="H16" i="11"/>
  <c r="H17" i="11"/>
  <c r="H18" i="11"/>
  <c r="H19" i="11"/>
  <c r="H20" i="11"/>
  <c r="H21" i="11"/>
  <c r="H22" i="11"/>
  <c r="H23" i="11"/>
  <c r="H24" i="11"/>
  <c r="H25" i="11"/>
  <c r="H26" i="11"/>
  <c r="H27" i="11"/>
  <c r="H28" i="11"/>
  <c r="H29" i="11"/>
  <c r="H30" i="11"/>
  <c r="H31" i="11"/>
  <c r="H32" i="11"/>
  <c r="H33" i="11"/>
  <c r="H34" i="11"/>
  <c r="H35" i="11"/>
  <c r="H36" i="11"/>
  <c r="H37" i="11"/>
  <c r="H14" i="11"/>
  <c r="L49" i="13" l="1"/>
  <c r="M49" i="13" s="1"/>
  <c r="L37" i="13"/>
  <c r="M37" i="13" s="1"/>
  <c r="L47" i="13"/>
  <c r="M47" i="13" s="1"/>
  <c r="L35" i="13"/>
  <c r="M35" i="13" s="1"/>
  <c r="L23" i="13"/>
  <c r="M23" i="13" s="1"/>
  <c r="K30" i="11"/>
  <c r="L30" i="11" s="1"/>
  <c r="K33" i="11"/>
  <c r="L33" i="11" s="1"/>
  <c r="L25" i="13"/>
  <c r="M25" i="13" s="1"/>
  <c r="L45" i="13"/>
  <c r="M45" i="13" s="1"/>
  <c r="L33" i="13"/>
  <c r="M33" i="13" s="1"/>
  <c r="L21" i="13"/>
  <c r="M21" i="13" s="1"/>
  <c r="L41" i="13"/>
  <c r="M41" i="13" s="1"/>
  <c r="L29" i="13"/>
  <c r="M29" i="13" s="1"/>
  <c r="L44" i="13"/>
  <c r="M44" i="13" s="1"/>
  <c r="L32" i="13"/>
  <c r="M32" i="13" s="1"/>
  <c r="L20" i="13"/>
  <c r="M20" i="13" s="1"/>
  <c r="L17" i="13"/>
  <c r="M17" i="13" s="1"/>
  <c r="L50" i="13"/>
  <c r="M50" i="13" s="1"/>
  <c r="L38" i="13"/>
  <c r="M38" i="13" s="1"/>
  <c r="L26" i="13"/>
  <c r="M26" i="13" s="1"/>
  <c r="L40" i="13"/>
  <c r="M40" i="13" s="1"/>
  <c r="L28" i="13"/>
  <c r="M28" i="13" s="1"/>
  <c r="L16" i="13"/>
  <c r="M16" i="13" s="1"/>
  <c r="L48" i="13"/>
  <c r="M48" i="13" s="1"/>
  <c r="L36" i="13"/>
  <c r="M36" i="13" s="1"/>
  <c r="L24" i="13"/>
  <c r="M24" i="13" s="1"/>
  <c r="L46" i="13"/>
  <c r="M46" i="13" s="1"/>
  <c r="L34" i="13"/>
  <c r="M34" i="13" s="1"/>
  <c r="L22" i="13"/>
  <c r="M22" i="13" s="1"/>
  <c r="K31" i="11"/>
  <c r="L31" i="11" s="1"/>
  <c r="K35" i="11"/>
  <c r="L35" i="11" s="1"/>
  <c r="K14" i="11"/>
  <c r="L14" i="11" s="1"/>
  <c r="L39" i="13"/>
  <c r="M39" i="13" s="1"/>
  <c r="L27" i="13"/>
  <c r="M27" i="13" s="1"/>
  <c r="L15" i="13"/>
  <c r="M15" i="13" s="1"/>
  <c r="L42" i="13"/>
  <c r="M42" i="13" s="1"/>
  <c r="L30" i="13"/>
  <c r="M30" i="13" s="1"/>
  <c r="L18" i="13"/>
  <c r="M18" i="13" s="1"/>
  <c r="K37" i="11"/>
  <c r="L37" i="11" s="1"/>
  <c r="K26" i="11"/>
  <c r="L26" i="11" s="1"/>
  <c r="K32" i="11"/>
  <c r="L32" i="11" s="1"/>
  <c r="K36" i="11"/>
  <c r="L36" i="11" s="1"/>
  <c r="K23" i="11"/>
  <c r="L23" i="11" s="1"/>
  <c r="K19" i="11"/>
  <c r="L19" i="11" s="1"/>
  <c r="K22" i="11"/>
  <c r="L22" i="11" s="1"/>
  <c r="K21" i="11"/>
  <c r="L21" i="11" s="1"/>
  <c r="K16" i="11"/>
  <c r="L16" i="11" s="1"/>
  <c r="K29" i="11"/>
  <c r="L29" i="11" s="1"/>
  <c r="K15" i="11"/>
  <c r="L15" i="11" s="1"/>
  <c r="K25" i="11"/>
  <c r="L25" i="11" s="1"/>
  <c r="K28" i="11"/>
  <c r="L28" i="11" s="1"/>
  <c r="K20" i="11"/>
  <c r="L20" i="11" s="1"/>
  <c r="K27" i="11"/>
  <c r="L27" i="11" s="1"/>
  <c r="K24" i="11"/>
  <c r="L24" i="11" s="1"/>
  <c r="K18" i="11"/>
  <c r="L18" i="11" s="1"/>
  <c r="K17" i="11"/>
  <c r="L17" i="11" s="1"/>
  <c r="K34" i="11"/>
  <c r="L34" i="11" s="1"/>
  <c r="C16" i="8" l="1"/>
  <c r="C10" i="8"/>
  <c r="C20" i="8"/>
  <c r="C8" i="2"/>
  <c r="I24" i="20" l="1"/>
  <c r="L24" i="20" s="1"/>
  <c r="M24" i="20" s="1"/>
  <c r="I25" i="20"/>
  <c r="L25" i="20" s="1"/>
  <c r="M25" i="20" s="1"/>
  <c r="I37" i="20"/>
  <c r="L37" i="20" s="1"/>
  <c r="M37" i="20" s="1"/>
  <c r="I50" i="20"/>
  <c r="L50" i="20" s="1"/>
  <c r="M50" i="20" s="1"/>
  <c r="I62" i="20"/>
  <c r="L62" i="20" s="1"/>
  <c r="M62" i="20" s="1"/>
  <c r="I74" i="20"/>
  <c r="L74" i="20" s="1"/>
  <c r="M74" i="20" s="1"/>
  <c r="I86" i="20"/>
  <c r="L86" i="20" s="1"/>
  <c r="M86" i="20" s="1"/>
  <c r="I18" i="20"/>
  <c r="L18" i="20" s="1"/>
  <c r="M18" i="20" s="1"/>
  <c r="I26" i="20"/>
  <c r="L26" i="20" s="1"/>
  <c r="M26" i="20" s="1"/>
  <c r="I38" i="20"/>
  <c r="L38" i="20" s="1"/>
  <c r="M38" i="20" s="1"/>
  <c r="I51" i="20"/>
  <c r="L51" i="20" s="1"/>
  <c r="M51" i="20" s="1"/>
  <c r="I63" i="20"/>
  <c r="L63" i="20" s="1"/>
  <c r="M63" i="20" s="1"/>
  <c r="I75" i="20"/>
  <c r="L75" i="20" s="1"/>
  <c r="M75" i="20" s="1"/>
  <c r="I87" i="20"/>
  <c r="L87" i="20" s="1"/>
  <c r="M87" i="20" s="1"/>
  <c r="I27" i="20"/>
  <c r="L27" i="20" s="1"/>
  <c r="M27" i="20" s="1"/>
  <c r="I39" i="20"/>
  <c r="L39" i="20" s="1"/>
  <c r="M39" i="20" s="1"/>
  <c r="I52" i="20"/>
  <c r="L52" i="20" s="1"/>
  <c r="M52" i="20" s="1"/>
  <c r="I64" i="20"/>
  <c r="L64" i="20" s="1"/>
  <c r="M64" i="20" s="1"/>
  <c r="I76" i="20"/>
  <c r="L76" i="20" s="1"/>
  <c r="M76" i="20" s="1"/>
  <c r="I19" i="20"/>
  <c r="L19" i="20" s="1"/>
  <c r="M19" i="20" s="1"/>
  <c r="I16" i="20"/>
  <c r="L16" i="20" s="1"/>
  <c r="M16" i="20" s="1"/>
  <c r="I28" i="20"/>
  <c r="L28" i="20" s="1"/>
  <c r="M28" i="20" s="1"/>
  <c r="I41" i="20"/>
  <c r="L41" i="20" s="1"/>
  <c r="M41" i="20" s="1"/>
  <c r="I53" i="20"/>
  <c r="L53" i="20" s="1"/>
  <c r="M53" i="20" s="1"/>
  <c r="I65" i="20"/>
  <c r="L65" i="20" s="1"/>
  <c r="M65" i="20" s="1"/>
  <c r="I77" i="20"/>
  <c r="L77" i="20" s="1"/>
  <c r="M77" i="20" s="1"/>
  <c r="I20" i="20"/>
  <c r="L20" i="20" s="1"/>
  <c r="M20" i="20" s="1"/>
  <c r="I29" i="20"/>
  <c r="L29" i="20" s="1"/>
  <c r="M29" i="20" s="1"/>
  <c r="I42" i="20"/>
  <c r="L42" i="20" s="1"/>
  <c r="M42" i="20" s="1"/>
  <c r="I54" i="20"/>
  <c r="L54" i="20" s="1"/>
  <c r="M54" i="20" s="1"/>
  <c r="I66" i="20"/>
  <c r="L66" i="20" s="1"/>
  <c r="M66" i="20" s="1"/>
  <c r="I78" i="20"/>
  <c r="L78" i="20" s="1"/>
  <c r="M78" i="20" s="1"/>
  <c r="I21" i="20"/>
  <c r="L21" i="20" s="1"/>
  <c r="M21" i="20" s="1"/>
  <c r="I30" i="20"/>
  <c r="L30" i="20" s="1"/>
  <c r="M30" i="20" s="1"/>
  <c r="I43" i="20"/>
  <c r="L43" i="20" s="1"/>
  <c r="M43" i="20" s="1"/>
  <c r="I55" i="20"/>
  <c r="L55" i="20" s="1"/>
  <c r="M55" i="20" s="1"/>
  <c r="I67" i="20"/>
  <c r="L67" i="20" s="1"/>
  <c r="M67" i="20" s="1"/>
  <c r="I79" i="20"/>
  <c r="L79" i="20" s="1"/>
  <c r="M79" i="20" s="1"/>
  <c r="I31" i="20"/>
  <c r="L31" i="20" s="1"/>
  <c r="M31" i="20" s="1"/>
  <c r="I44" i="20"/>
  <c r="L44" i="20" s="1"/>
  <c r="M44" i="20" s="1"/>
  <c r="I56" i="20"/>
  <c r="L56" i="20" s="1"/>
  <c r="M56" i="20" s="1"/>
  <c r="I68" i="20"/>
  <c r="L68" i="20" s="1"/>
  <c r="M68" i="20" s="1"/>
  <c r="I80" i="20"/>
  <c r="L80" i="20" s="1"/>
  <c r="M80" i="20" s="1"/>
  <c r="I32" i="20"/>
  <c r="L32" i="20" s="1"/>
  <c r="M32" i="20" s="1"/>
  <c r="I45" i="20"/>
  <c r="L45" i="20" s="1"/>
  <c r="M45" i="20" s="1"/>
  <c r="I57" i="20"/>
  <c r="L57" i="20" s="1"/>
  <c r="M57" i="20" s="1"/>
  <c r="I69" i="20"/>
  <c r="L69" i="20" s="1"/>
  <c r="M69" i="20" s="1"/>
  <c r="I81" i="20"/>
  <c r="L81" i="20" s="1"/>
  <c r="M81" i="20" s="1"/>
  <c r="I33" i="20"/>
  <c r="L33" i="20" s="1"/>
  <c r="M33" i="20" s="1"/>
  <c r="I46" i="20"/>
  <c r="L46" i="20" s="1"/>
  <c r="M46" i="20" s="1"/>
  <c r="I58" i="20"/>
  <c r="L58" i="20" s="1"/>
  <c r="M58" i="20" s="1"/>
  <c r="I70" i="20"/>
  <c r="L70" i="20" s="1"/>
  <c r="M70" i="20" s="1"/>
  <c r="I82" i="20"/>
  <c r="L82" i="20" s="1"/>
  <c r="M82" i="20" s="1"/>
  <c r="I22" i="20"/>
  <c r="L22" i="20" s="1"/>
  <c r="M22" i="20" s="1"/>
  <c r="I34" i="20"/>
  <c r="L34" i="20" s="1"/>
  <c r="M34" i="20" s="1"/>
  <c r="I47" i="20"/>
  <c r="L47" i="20" s="1"/>
  <c r="M47" i="20" s="1"/>
  <c r="I59" i="20"/>
  <c r="L59" i="20" s="1"/>
  <c r="M59" i="20" s="1"/>
  <c r="I71" i="20"/>
  <c r="L71" i="20" s="1"/>
  <c r="M71" i="20" s="1"/>
  <c r="I83" i="20"/>
  <c r="L83" i="20" s="1"/>
  <c r="M83" i="20" s="1"/>
  <c r="I23" i="20"/>
  <c r="L23" i="20" s="1"/>
  <c r="M23" i="20" s="1"/>
  <c r="I35" i="20"/>
  <c r="L35" i="20" s="1"/>
  <c r="M35" i="20" s="1"/>
  <c r="I48" i="20"/>
  <c r="L48" i="20" s="1"/>
  <c r="M48" i="20" s="1"/>
  <c r="I60" i="20"/>
  <c r="L60" i="20" s="1"/>
  <c r="M60" i="20" s="1"/>
  <c r="I72" i="20"/>
  <c r="L72" i="20" s="1"/>
  <c r="M72" i="20" s="1"/>
  <c r="I84" i="20"/>
  <c r="L84" i="20" s="1"/>
  <c r="M84" i="20" s="1"/>
  <c r="I36" i="20"/>
  <c r="L36" i="20" s="1"/>
  <c r="M36" i="20" s="1"/>
  <c r="I49" i="20"/>
  <c r="L49" i="20" s="1"/>
  <c r="M49" i="20" s="1"/>
  <c r="I61" i="20"/>
  <c r="L61" i="20" s="1"/>
  <c r="M61" i="20" s="1"/>
  <c r="I73" i="20"/>
  <c r="L73" i="20" s="1"/>
  <c r="M73" i="20" s="1"/>
  <c r="I17" i="20"/>
  <c r="L17" i="20" s="1"/>
  <c r="M17" i="20" s="1"/>
  <c r="I85" i="20"/>
  <c r="L85" i="20" s="1"/>
  <c r="M85" i="20" s="1"/>
  <c r="I40" i="20"/>
  <c r="L40" i="20" s="1"/>
  <c r="M40" i="20" s="1"/>
  <c r="C12" i="8" l="1"/>
  <c r="C8" i="3" s="1"/>
  <c r="C17" i="8"/>
  <c r="C18" i="8" s="1"/>
  <c r="C19" i="8" l="1"/>
  <c r="C21" i="8" s="1"/>
  <c r="C9" i="3" l="1"/>
  <c r="C10" i="3" s="1"/>
  <c r="C11" i="3" s="1"/>
  <c r="C13" i="3" s="1"/>
</calcChain>
</file>

<file path=xl/sharedStrings.xml><?xml version="1.0" encoding="utf-8"?>
<sst xmlns="http://schemas.openxmlformats.org/spreadsheetml/2006/main" count="757" uniqueCount="186">
  <si>
    <t>Step 1: Read "Overview"</t>
  </si>
  <si>
    <t>1. Navigate to "Overview" tab</t>
  </si>
  <si>
    <t>Step 2: Verify assumptions</t>
  </si>
  <si>
    <t>1. Navigate to "Assumptions" tab</t>
  </si>
  <si>
    <t>2. Review assumptions used in ROI calculator</t>
  </si>
  <si>
    <r>
      <t>3. If needed, adjust "</t>
    </r>
    <r>
      <rPr>
        <b/>
        <sz val="11"/>
        <color theme="1"/>
        <rFont val="Calibri"/>
        <family val="2"/>
        <scheme val="minor"/>
      </rPr>
      <t>Work capacity</t>
    </r>
    <r>
      <rPr>
        <sz val="11"/>
        <color theme="1"/>
        <rFont val="Calibri"/>
        <family val="2"/>
        <scheme val="minor"/>
      </rPr>
      <t xml:space="preserve">" assumptions to better reflect company standards </t>
    </r>
  </si>
  <si>
    <r>
      <t xml:space="preserve">4. If needed, adjust salary ranges and midpoints to better reflect company compensation. </t>
    </r>
    <r>
      <rPr>
        <b/>
        <u/>
        <sz val="11"/>
        <color rgb="FF000000"/>
        <rFont val="Calibri"/>
        <family val="2"/>
        <scheme val="minor"/>
      </rPr>
      <t>If adjusting, ensure there are exactly 6 ranges and 6 midpoints total</t>
    </r>
  </si>
  <si>
    <t>Step 3: Input internal data</t>
  </si>
  <si>
    <t>1. Navigate to "Inputs" tab</t>
  </si>
  <si>
    <t>Note: These values are required to run ROI analysis and cannot be captured by child care benefits survey</t>
  </si>
  <si>
    <t>Step 4: Filter survey data</t>
  </si>
  <si>
    <t>1. Remain on "Inputs" tab</t>
  </si>
  <si>
    <t>4. Input the number of survey respondents remaining after filtering</t>
  </si>
  <si>
    <t>Step 5: Input retention survey data</t>
  </si>
  <si>
    <t>1. Navigate to "Survey input_Retention" tab</t>
  </si>
  <si>
    <t>3. Insert respondent counts for each unique combination of responses in left hand side column</t>
  </si>
  <si>
    <t>Step 6: Input productivity (unexpected absences) survey data</t>
  </si>
  <si>
    <t>1. Navigate to "Survey input_Productivity_A" tab</t>
  </si>
  <si>
    <t>Step 7: Input productivity (late arrival or early departure from work) survey data</t>
  </si>
  <si>
    <t>1. Navigate to "Survey input_Productivity_B" tab</t>
  </si>
  <si>
    <t>Step 8: Verify calcultions</t>
  </si>
  <si>
    <t>1. Navigate to "Calculations" tab</t>
  </si>
  <si>
    <r>
      <rPr>
        <sz val="11"/>
        <color rgb="FF000000"/>
        <rFont val="Calibri"/>
        <family val="2"/>
        <scheme val="minor"/>
      </rPr>
      <t xml:space="preserve">2. Ensure each row has a value next to it. </t>
    </r>
    <r>
      <rPr>
        <b/>
        <u/>
        <sz val="11"/>
        <color rgb="FF000000"/>
        <rFont val="Calibri"/>
        <family val="2"/>
        <scheme val="minor"/>
      </rPr>
      <t>Do not manually input values</t>
    </r>
  </si>
  <si>
    <t>Step 9: View results</t>
  </si>
  <si>
    <t>1. Navigate to "Outputs" tab</t>
  </si>
  <si>
    <r>
      <rPr>
        <sz val="11"/>
        <color rgb="FF000000"/>
        <rFont val="Calibri"/>
        <family val="2"/>
      </rPr>
      <t xml:space="preserve">2. Ensure each row has a value next to it. </t>
    </r>
    <r>
      <rPr>
        <b/>
        <u/>
        <sz val="11"/>
        <color rgb="FF000000"/>
        <rFont val="Calibri"/>
        <family val="2"/>
      </rPr>
      <t>Do not manually input values</t>
    </r>
  </si>
  <si>
    <t>3. Review result of ROI analysis</t>
  </si>
  <si>
    <t>Tab Structure</t>
  </si>
  <si>
    <t>Outputs</t>
  </si>
  <si>
    <t>Child care benefit ROI</t>
  </si>
  <si>
    <t>Calculations</t>
  </si>
  <si>
    <t>Calculations for extrapolation multiple, retention savings, and productivity savings</t>
  </si>
  <si>
    <t>Key inputs and assumptions for the model</t>
  </si>
  <si>
    <t>Assumptions</t>
  </si>
  <si>
    <t>Inputs</t>
  </si>
  <si>
    <t>Survey input_Retention</t>
  </si>
  <si>
    <t>Survey respondent counts for unique combinations of responses that enable retention savings calculation</t>
  </si>
  <si>
    <t>Survey input_Productivity_A</t>
  </si>
  <si>
    <r>
      <t>Survey respondent counts for unique combinations of responses that enable</t>
    </r>
    <r>
      <rPr>
        <b/>
        <sz val="11"/>
        <color theme="1"/>
        <rFont val="Calibri"/>
        <family val="2"/>
        <scheme val="minor"/>
      </rPr>
      <t xml:space="preserve"> unexpected absences portion</t>
    </r>
    <r>
      <rPr>
        <sz val="11"/>
        <color theme="1"/>
        <rFont val="Calibri"/>
        <family val="2"/>
        <scheme val="minor"/>
      </rPr>
      <t xml:space="preserve"> of productivity savings calculation</t>
    </r>
  </si>
  <si>
    <t>Survey input_Productivity_B</t>
  </si>
  <si>
    <t>Color codes</t>
  </si>
  <si>
    <t>abc</t>
  </si>
  <si>
    <t>Hard coded</t>
  </si>
  <si>
    <t>Calculations/text</t>
  </si>
  <si>
    <t>References in same sheet</t>
  </si>
  <si>
    <r>
      <rPr>
        <b/>
        <sz val="11"/>
        <color theme="8"/>
        <rFont val="Calibri"/>
        <family val="2"/>
        <scheme val="minor"/>
      </rPr>
      <t>Required</t>
    </r>
    <r>
      <rPr>
        <sz val="11"/>
        <color theme="8"/>
        <rFont val="Calibri"/>
        <family val="2"/>
        <scheme val="minor"/>
      </rPr>
      <t xml:space="preserve"> user input</t>
    </r>
  </si>
  <si>
    <r>
      <rPr>
        <b/>
        <sz val="11"/>
        <color theme="8"/>
        <rFont val="Calibri"/>
        <family val="2"/>
        <scheme val="minor"/>
      </rPr>
      <t>Potential</t>
    </r>
    <r>
      <rPr>
        <sz val="11"/>
        <color theme="8"/>
        <rFont val="Calibri"/>
        <family val="2"/>
        <scheme val="minor"/>
      </rPr>
      <t xml:space="preserve"> user input</t>
    </r>
  </si>
  <si>
    <t>Link to document tab</t>
  </si>
  <si>
    <t>Data to be filtered from analysis</t>
  </si>
  <si>
    <t>Methodology</t>
  </si>
  <si>
    <t>Population</t>
  </si>
  <si>
    <t>Of those, how many have used [company's] child care benefits in the past 3 months</t>
  </si>
  <si>
    <t>Retention savings</t>
  </si>
  <si>
    <t>Of those who use benefits, how many considered leaving ("Agree" or "Strongly Agree" to question 5)</t>
  </si>
  <si>
    <t>Of those who considered leaving, how many stated that child care benefits enabled them to stay in the worforce ("Agree" or "Strongly Agree" to question 6)</t>
  </si>
  <si>
    <t>Productivity savings</t>
  </si>
  <si>
    <t>Of those who use benefits, how many stated they helped them avoid unexpected absences and/or late arrivals or early departures from work (question 7)</t>
  </si>
  <si>
    <t>Divide salary into daily and hourly rates (using assumptions)</t>
  </si>
  <si>
    <t>ROI</t>
  </si>
  <si>
    <t>Sum retention savings and productivity savings to get total savings</t>
  </si>
  <si>
    <t>Subtract total cost from total savings to get net savings</t>
  </si>
  <si>
    <t>Divide net savings by total cost</t>
  </si>
  <si>
    <t>Instructions</t>
  </si>
  <si>
    <t>ROI calculator outputs</t>
  </si>
  <si>
    <t>Costs</t>
  </si>
  <si>
    <t>Annual cost to provide child care benefits</t>
  </si>
  <si>
    <t>Savings</t>
  </si>
  <si>
    <t>Total savings</t>
  </si>
  <si>
    <t>Net savings</t>
  </si>
  <si>
    <t>Extrapolation multiple</t>
  </si>
  <si>
    <t xml:space="preserve"> hh</t>
  </si>
  <si>
    <t>Number of survey respondents that utilize child care benefits</t>
  </si>
  <si>
    <t>Total rentention savings from survey population</t>
  </si>
  <si>
    <t>Total retention savings</t>
  </si>
  <si>
    <t>Total avoided unexpected absences savings from survey population</t>
  </si>
  <si>
    <t>Annual productivity savings from survey population</t>
  </si>
  <si>
    <t xml:space="preserve">Total productivity savings </t>
  </si>
  <si>
    <t>Work capacity</t>
  </si>
  <si>
    <t>Note: Adjust based on your organization's days of work in a year and hours of work in a day</t>
  </si>
  <si>
    <t>Days of work in a year</t>
  </si>
  <si>
    <t>Hours of work in a day</t>
  </si>
  <si>
    <t>Hours of work in a year</t>
  </si>
  <si>
    <t>Replacement multiples</t>
  </si>
  <si>
    <t>I don't manage anyone</t>
  </si>
  <si>
    <t>I manage employees</t>
  </si>
  <si>
    <t>I manage employees who manage other employees</t>
  </si>
  <si>
    <t>I am a senior leader in my organization</t>
  </si>
  <si>
    <t>Annual income</t>
  </si>
  <si>
    <t>$0 - $30,000</t>
  </si>
  <si>
    <t>$30,001 - $60,000</t>
  </si>
  <si>
    <t>$60,001 - $90,000</t>
  </si>
  <si>
    <t>$90,001 - $120,000</t>
  </si>
  <si>
    <t>$120,001 - $150,000</t>
  </si>
  <si>
    <t>$150,000+</t>
  </si>
  <si>
    <t>Instances avoided</t>
  </si>
  <si>
    <t>Note: Values are midpoints of ranges</t>
  </si>
  <si>
    <t>0 times</t>
  </si>
  <si>
    <t>1 - 2 times</t>
  </si>
  <si>
    <t>3 - 4 times</t>
  </si>
  <si>
    <t>5 - 6 times</t>
  </si>
  <si>
    <t>7 - 8 times</t>
  </si>
  <si>
    <t>9 - 10 times</t>
  </si>
  <si>
    <t>More than 10 times</t>
  </si>
  <si>
    <t>Note: Used to extrapolate results from quarterly to annual</t>
  </si>
  <si>
    <t>Annual cost of child care benefits</t>
  </si>
  <si>
    <t>Note: Total cost of all child care benefits offered</t>
  </si>
  <si>
    <t>Survey inputs</t>
  </si>
  <si>
    <t>Yes</t>
  </si>
  <si>
    <t>No</t>
  </si>
  <si>
    <t>Data from respondents should not be included in analysis</t>
  </si>
  <si>
    <t>Key</t>
  </si>
  <si>
    <t>Survey question</t>
  </si>
  <si>
    <t>Assumption</t>
  </si>
  <si>
    <t>Lookups connecting survey responses to assumptions</t>
  </si>
  <si>
    <t>Replacement multiple</t>
  </si>
  <si>
    <t>Average salary</t>
  </si>
  <si>
    <t>Retention savings per employee</t>
  </si>
  <si>
    <t>Agree or strongly agree</t>
  </si>
  <si>
    <t>Input - Unexpected absences</t>
  </si>
  <si>
    <t>Q7. In the past three months, which of the following challenges have you avoided because of your child care benefits…</t>
  </si>
  <si>
    <t>…and approximatley how often?</t>
  </si>
  <si>
    <t>Daily salary rate</t>
  </si>
  <si>
    <t>Avg instances avoided</t>
  </si>
  <si>
    <t>Productivity savings per employee</t>
  </si>
  <si>
    <t>Total productivity savings</t>
  </si>
  <si>
    <t>Unexpected absences</t>
  </si>
  <si>
    <t>Input - Late arrival or early departure from work</t>
  </si>
  <si>
    <t>Hourly salary rate</t>
  </si>
  <si>
    <t>Late arrival or early departure from work</t>
  </si>
  <si>
    <t>Detailed step-by-step instructions for how to utilize ROI calculator for analysis</t>
  </si>
  <si>
    <t>Purpose</t>
  </si>
  <si>
    <t>Overview</t>
  </si>
  <si>
    <t>Materials needed</t>
  </si>
  <si>
    <t>Data from data collection checklist and child care benefits survey, to use as inputs</t>
  </si>
  <si>
    <t>2. Review overview, tab structure, color codes, and methodology</t>
  </si>
  <si>
    <t>Assumptions for calculations: work capacity, replacement multiples, income ranges, instances avoided, and annualization</t>
  </si>
  <si>
    <t>Internal data inputs</t>
  </si>
  <si>
    <t>Internal data and survey data inputs</t>
  </si>
  <si>
    <r>
      <t>Survey respondent counts for unique combinations of responses that enable</t>
    </r>
    <r>
      <rPr>
        <b/>
        <sz val="11"/>
        <color theme="1"/>
        <rFont val="Calibri"/>
        <family val="2"/>
        <scheme val="minor"/>
      </rPr>
      <t xml:space="preserve"> late arrival or early departure from work</t>
    </r>
    <r>
      <rPr>
        <sz val="11"/>
        <color theme="1"/>
        <rFont val="Calibri"/>
        <family val="2"/>
        <scheme val="minor"/>
      </rPr>
      <t xml:space="preserve"> portion of productivity savings calculation</t>
    </r>
  </si>
  <si>
    <t>Multiply salaries by replacement multiple determined by current leadership responsibilties</t>
  </si>
  <si>
    <t>Sum retention savings for survey population</t>
  </si>
  <si>
    <t>Multiply average avoided unexpected absences by daily salary rate and sum</t>
  </si>
  <si>
    <t>Annualize quarterly results by mutliplying by four (using assumptions)</t>
  </si>
  <si>
    <r>
      <t xml:space="preserve">Note: Values are midpoints of ranges; adjust based on organization's salary ranges. </t>
    </r>
    <r>
      <rPr>
        <b/>
        <i/>
        <u/>
        <sz val="11"/>
        <color theme="1"/>
        <rFont val="Calibri"/>
        <family val="2"/>
        <scheme val="minor"/>
      </rPr>
      <t>Ensure there are exactly 6 ranges and 6 midpoints</t>
    </r>
  </si>
  <si>
    <t>Note: Research backed (e.g., US Chamber Foundation) findings that correlate the cost of replacing an employee to their role; a multiple of employee salarly</t>
  </si>
  <si>
    <t>Input - Retention</t>
  </si>
  <si>
    <t>Number of unique employees that utilize child care benefits annually</t>
  </si>
  <si>
    <t>Note: Ensure employees are not double counted</t>
  </si>
  <si>
    <t>Q6. All else equal, the child care benfits offered by my company have better enabled me to stay in the workforce or avoid leaving the workforce</t>
  </si>
  <si>
    <t>Note: Late arrivals or early departures from work assumed to be one hour in length</t>
  </si>
  <si>
    <r>
      <t xml:space="preserve">Number of survery respondents that have children under the age of 13 </t>
    </r>
    <r>
      <rPr>
        <b/>
        <sz val="11"/>
        <color theme="1"/>
        <rFont val="Calibri"/>
        <family val="2"/>
        <scheme val="minor"/>
      </rPr>
      <t>and</t>
    </r>
    <r>
      <rPr>
        <sz val="11"/>
        <color theme="1"/>
        <rFont val="Calibri"/>
        <family val="2"/>
        <scheme val="minor"/>
      </rPr>
      <t xml:space="preserve"> have utilized child care benefits in the past 3 months</t>
    </r>
  </si>
  <si>
    <t>Note: Filter respondents based on questions 1 and 2 (see below)</t>
  </si>
  <si>
    <t>Q2. Have you utilized the [company benefit(s)] in the past 3 months?</t>
  </si>
  <si>
    <t>Input respondent count here</t>
  </si>
  <si>
    <t>Respondent count</t>
  </si>
  <si>
    <t>Input number of survey respondents that selected the unique 
combination of answer choices in each row for questions 3 - 6</t>
  </si>
  <si>
    <t>Input number of survey respondents that selected the unique combination of answer chioces in each row for questions 3, 4, and 7</t>
  </si>
  <si>
    <t xml:space="preserve">Q3. Which of the following best describes your current leadership 
responsibilities at your company? </t>
  </si>
  <si>
    <t>Q4.What is your approximate annual income at [company]
 (including any wages, salary and/or bonus)?</t>
  </si>
  <si>
    <t>Q5. In the past twelve months, I have considered leaving [company] 
or cutting back on hours due to my child care responsibilities</t>
  </si>
  <si>
    <t>Unique survey responses to questions 3 - 6</t>
  </si>
  <si>
    <t>Unique survey responses to questions 3 , 4, and 7</t>
  </si>
  <si>
    <r>
      <t xml:space="preserve">2. Identify survey respondents that selected "No" to Question 1 (Do you currently care for any children under the age of 13?). </t>
    </r>
    <r>
      <rPr>
        <b/>
        <u/>
        <sz val="11"/>
        <color theme="1"/>
        <rFont val="Calibri"/>
        <family val="2"/>
        <scheme val="minor"/>
      </rPr>
      <t>The data from these respondents should be filtered out and not included in ROI analysis</t>
    </r>
  </si>
  <si>
    <r>
      <t xml:space="preserve">3. Identify survey respondents that selected "No" to Question 2 (Have you utilized [company benefits] in the past 3 months?). </t>
    </r>
    <r>
      <rPr>
        <b/>
        <u/>
        <sz val="11"/>
        <color theme="1"/>
        <rFont val="Calibri"/>
        <family val="2"/>
        <scheme val="minor"/>
      </rPr>
      <t>The data from these respondents should be filtered out and not included in ROI analysis</t>
    </r>
  </si>
  <si>
    <r>
      <t xml:space="preserve">2. Review unique combinations of survey responses to questions </t>
    </r>
    <r>
      <rPr>
        <b/>
        <sz val="11"/>
        <color theme="1"/>
        <rFont val="Calibri"/>
        <family val="2"/>
        <scheme val="minor"/>
      </rPr>
      <t>3, 4, 5, and 6</t>
    </r>
    <r>
      <rPr>
        <sz val="11"/>
        <color theme="1"/>
        <rFont val="Calibri"/>
        <family val="2"/>
        <scheme val="minor"/>
      </rPr>
      <t>. Using your child care benefits survey data, count the number of respondents for each unique combination of responses</t>
    </r>
  </si>
  <si>
    <r>
      <t xml:space="preserve">2. Review unique combinations of survey responses to questions </t>
    </r>
    <r>
      <rPr>
        <b/>
        <sz val="11"/>
        <color theme="1"/>
        <rFont val="Calibri"/>
        <family val="2"/>
        <scheme val="minor"/>
      </rPr>
      <t>3, 4, and 7 (unexpected absences)</t>
    </r>
    <r>
      <rPr>
        <sz val="11"/>
        <color theme="1"/>
        <rFont val="Calibri"/>
        <family val="2"/>
        <scheme val="minor"/>
      </rPr>
      <t>. Using your child care benefits survey data, count the number of respondents for each unique combination of responses</t>
    </r>
  </si>
  <si>
    <r>
      <t xml:space="preserve">2. Review unique combinations of survey responses to questions </t>
    </r>
    <r>
      <rPr>
        <b/>
        <sz val="11"/>
        <color theme="1"/>
        <rFont val="Calibri"/>
        <family val="2"/>
        <scheme val="minor"/>
      </rPr>
      <t>3, 4, and 7 (late arrival or early departure from work)</t>
    </r>
    <r>
      <rPr>
        <sz val="11"/>
        <color theme="1"/>
        <rFont val="Calibri"/>
        <family val="2"/>
        <scheme val="minor"/>
      </rPr>
      <t>. Using your child care benefits survey data, count the number of respondents for each unique combination of responses</t>
    </r>
  </si>
  <si>
    <t>Multiply survey retention savings by extrapolation multiple, which extrapolates findings to the total number of employees that use child care benefits</t>
  </si>
  <si>
    <t xml:space="preserve">Q1. Do you currently care for any children under the age of 13 (including biological children, adopted children, stepchildren, foster children, etc.)? </t>
  </si>
  <si>
    <t>Of those, match to their salaries (question 4) and their current leadership responsibilites (question 3)</t>
  </si>
  <si>
    <t>Of those, only include those employees that don't manage anyone or that manage other employees (question 3)</t>
  </si>
  <si>
    <t>Of those, match to their salaries (question 4)</t>
  </si>
  <si>
    <t>Note: To determine respondent count, first analyze raw survey data to identify the amount of survey respondents that selected the unique combination of answer choices listed in each row. This can be done using pivot tables or filters</t>
  </si>
  <si>
    <t>Model for performing ROI analysis of child care benefits</t>
  </si>
  <si>
    <t>Input &amp; assumptions</t>
  </si>
  <si>
    <t>Of the total survey respondents, how many care for children under the age of 13</t>
  </si>
  <si>
    <t>Multiply average avoided late arrivals or early departures from work by hourly rate and sum</t>
  </si>
  <si>
    <t>Sum avoided unexpected absence savings and avoided late arrivals or early departure from work savings</t>
  </si>
  <si>
    <t>Multiply productivity savings by extrapolation multiple, which extrapolates findings to the total number of employees that use child care benefits</t>
  </si>
  <si>
    <t>Total productivity savings from survey population for 3 month period</t>
  </si>
  <si>
    <t>Total avoided late arrivals or early departures from work savings from survey population</t>
  </si>
  <si>
    <t>Annualization multiple</t>
  </si>
  <si>
    <t>Calculation</t>
  </si>
  <si>
    <r>
      <t xml:space="preserve">2. Input company's annual cost of child care benefits and number of unique employees that utilize child care benefits annually </t>
    </r>
    <r>
      <rPr>
        <b/>
        <u/>
        <sz val="11"/>
        <color theme="1"/>
        <rFont val="Calibri"/>
        <family val="2"/>
        <scheme val="minor"/>
      </rPr>
      <t>(utilize internal data from the data collection checklist)</t>
    </r>
  </si>
  <si>
    <r>
      <t xml:space="preserve">Note: </t>
    </r>
    <r>
      <rPr>
        <b/>
        <i/>
        <u/>
        <sz val="11"/>
        <color rgb="FF000000"/>
        <rFont val="Calibri"/>
      </rPr>
      <t>Manager of managers and senior leaders are excluded from productivity calculations, as they typically smooth their productivity over days and weeks and are not as responsible for day-to-day output</t>
    </r>
  </si>
  <si>
    <t>References in different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</si>
</sst>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3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color theme="8"/>
      <name val="Calibri"/>
      <family val="2"/>
      <scheme val="minor"/>
    </font>
    <font>
      <sz val="8"/>
      <name val="Calibri"/>
      <family val="2"/>
      <scheme val="minor"/>
    </font>
    <font>
      <b/>
      <sz val="11"/>
      <color theme="9"/>
      <name val="Calibri"/>
      <family val="2"/>
      <scheme val="minor"/>
    </font>
    <font>
      <sz val="11"/>
      <color rgb="FF7030A0"/>
      <name val="Calibri"/>
      <family val="2"/>
      <scheme val="minor"/>
    </font>
    <font>
      <sz val="11"/>
      <color theme="9"/>
      <name val="Calibri"/>
      <family val="2"/>
      <scheme val="minor"/>
    </font>
    <font>
      <sz val="11"/>
      <color rgb="FFFF0000"/>
      <name val="Calibri"/>
      <family val="2"/>
      <scheme val="minor"/>
    </font>
    <font>
      <sz val="11"/>
      <color theme="0"/>
      <name val="Calibri"/>
      <family val="2"/>
      <scheme val="minor"/>
    </font>
    <font>
      <b/>
      <sz val="11"/>
      <name val="Calibri"/>
      <family val="2"/>
      <scheme val="minor"/>
    </font>
    <font>
      <sz val="11"/>
      <color theme="4"/>
      <name val="Calibri"/>
      <family val="2"/>
      <scheme val="minor"/>
    </font>
    <font>
      <sz val="11"/>
      <color rgb="FF000000"/>
      <name val="Calibri"/>
      <family val="2"/>
      <scheme val="minor"/>
    </font>
    <font>
      <b/>
      <sz val="11"/>
      <color rgb="FF000000"/>
      <name val="Calibri"/>
      <family val="2"/>
      <scheme val="minor"/>
    </font>
    <font>
      <b/>
      <sz val="11"/>
      <color theme="8"/>
      <name val="Calibri"/>
      <family val="2"/>
      <scheme val="minor"/>
    </font>
    <font>
      <u/>
      <sz val="11"/>
      <color theme="10"/>
      <name val="Calibri"/>
      <family val="2"/>
      <scheme val="minor"/>
    </font>
    <font>
      <u/>
      <sz val="11"/>
      <color theme="8"/>
      <name val="Calibri"/>
      <family val="2"/>
      <scheme val="minor"/>
    </font>
    <font>
      <u/>
      <sz val="11"/>
      <color theme="4"/>
      <name val="Calibri"/>
      <family val="2"/>
      <scheme val="minor"/>
    </font>
    <font>
      <sz val="11"/>
      <color rgb="FF000000"/>
      <name val="Calibri"/>
      <family val="2"/>
      <scheme val="minor"/>
    </font>
    <font>
      <b/>
      <u/>
      <sz val="11"/>
      <color rgb="FF000000"/>
      <name val="Calibri"/>
      <family val="2"/>
      <scheme val="minor"/>
    </font>
    <font>
      <sz val="11"/>
      <color rgb="FF000000"/>
      <name val="Calibri"/>
      <family val="2"/>
    </font>
    <font>
      <b/>
      <u/>
      <sz val="11"/>
      <color rgb="FF000000"/>
      <name val="Calibri"/>
      <family val="2"/>
    </font>
    <font>
      <b/>
      <u/>
      <sz val="11"/>
      <color theme="1"/>
      <name val="Calibri"/>
      <family val="2"/>
      <scheme val="minor"/>
    </font>
    <font>
      <sz val="11"/>
      <name val="Calibri"/>
      <family val="2"/>
      <scheme val="minor"/>
    </font>
    <font>
      <b/>
      <i/>
      <u/>
      <sz val="11"/>
      <color theme="1"/>
      <name val="Calibri"/>
      <family val="2"/>
      <scheme val="minor"/>
    </font>
    <font>
      <b/>
      <sz val="18"/>
      <color theme="1"/>
      <name val="Calibri"/>
      <family val="2"/>
      <scheme val="minor"/>
    </font>
    <font>
      <b/>
      <sz val="20"/>
      <color theme="0"/>
      <name val="Calibri"/>
      <family val="2"/>
      <scheme val="minor"/>
    </font>
    <font>
      <sz val="20"/>
      <color theme="0"/>
      <name val="Calibri"/>
      <family val="2"/>
      <scheme val="minor"/>
    </font>
    <font>
      <i/>
      <sz val="11"/>
      <color rgb="FF000000"/>
      <name val="Calibri"/>
    </font>
    <font>
      <b/>
      <i/>
      <u/>
      <sz val="11"/>
      <color rgb="FF000000"/>
      <name val="Calibri"/>
    </font>
  </fonts>
  <fills count="11">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theme="0" tint="-0.14996795556505021"/>
      </bottom>
      <diagonal/>
    </border>
    <border>
      <left/>
      <right/>
      <top style="dotted">
        <color theme="0" tint="-0.14996795556505021"/>
      </top>
      <bottom style="dotted">
        <color theme="0" tint="-0.14996795556505021"/>
      </bottom>
      <diagonal/>
    </border>
    <border>
      <left/>
      <right/>
      <top style="thin">
        <color indexed="64"/>
      </top>
      <bottom style="dotted">
        <color theme="0" tint="-0.14996795556505021"/>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theme="0" tint="-0.14996795556505021"/>
      </bottom>
      <diagonal/>
    </border>
    <border>
      <left/>
      <right style="medium">
        <color indexed="64"/>
      </right>
      <top/>
      <bottom style="dotted">
        <color theme="0" tint="-0.14996795556505021"/>
      </bottom>
      <diagonal/>
    </border>
    <border>
      <left style="medium">
        <color indexed="64"/>
      </left>
      <right/>
      <top style="dotted">
        <color theme="0" tint="-0.14996795556505021"/>
      </top>
      <bottom style="dotted">
        <color theme="0" tint="-0.14996795556505021"/>
      </bottom>
      <diagonal/>
    </border>
    <border>
      <left/>
      <right style="medium">
        <color indexed="64"/>
      </right>
      <top style="dotted">
        <color theme="0" tint="-0.14996795556505021"/>
      </top>
      <bottom style="dotted">
        <color theme="0" tint="-0.14996795556505021"/>
      </bottom>
      <diagonal/>
    </border>
    <border>
      <left style="medium">
        <color indexed="64"/>
      </left>
      <right/>
      <top style="dotted">
        <color theme="0" tint="-0.14996795556505021"/>
      </top>
      <bottom style="medium">
        <color indexed="64"/>
      </bottom>
      <diagonal/>
    </border>
    <border>
      <left/>
      <right/>
      <top style="dotted">
        <color theme="0" tint="-0.14996795556505021"/>
      </top>
      <bottom style="medium">
        <color indexed="64"/>
      </bottom>
      <diagonal/>
    </border>
    <border>
      <left/>
      <right style="medium">
        <color indexed="64"/>
      </right>
      <top style="dotted">
        <color theme="0" tint="-0.14996795556505021"/>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tted">
        <color theme="0" tint="-0.14996795556505021"/>
      </bottom>
      <diagonal/>
    </border>
    <border>
      <left/>
      <right style="medium">
        <color indexed="64"/>
      </right>
      <top style="thin">
        <color indexed="64"/>
      </top>
      <bottom style="dotted">
        <color theme="0" tint="-0.149967955565050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129">
    <xf numFmtId="0" fontId="0" fillId="0" borderId="0" xfId="0"/>
    <xf numFmtId="0" fontId="0" fillId="2" borderId="0" xfId="0" applyFill="1"/>
    <xf numFmtId="0" fontId="0" fillId="3" borderId="0" xfId="0" applyFill="1"/>
    <xf numFmtId="0" fontId="2" fillId="3" borderId="0" xfId="0" applyFont="1" applyFill="1"/>
    <xf numFmtId="0" fontId="3" fillId="2" borderId="0" xfId="0" applyFont="1" applyFill="1"/>
    <xf numFmtId="0" fontId="0" fillId="2" borderId="0" xfId="0" applyFill="1" applyAlignment="1">
      <alignment horizontal="left" indent="1"/>
    </xf>
    <xf numFmtId="0" fontId="4" fillId="2" borderId="0" xfId="0" applyFont="1" applyFill="1"/>
    <xf numFmtId="0" fontId="2" fillId="2" borderId="0" xfId="0" applyFont="1" applyFill="1"/>
    <xf numFmtId="0" fontId="5" fillId="2" borderId="0" xfId="0" applyFont="1" applyFill="1"/>
    <xf numFmtId="164" fontId="5" fillId="2" borderId="0" xfId="0" applyNumberFormat="1" applyFont="1" applyFill="1"/>
    <xf numFmtId="0" fontId="3" fillId="2" borderId="0" xfId="0" applyFont="1" applyFill="1" applyAlignment="1">
      <alignment horizontal="left"/>
    </xf>
    <xf numFmtId="164" fontId="0" fillId="2" borderId="0" xfId="0" applyNumberFormat="1" applyFill="1"/>
    <xf numFmtId="0" fontId="7" fillId="2" borderId="1" xfId="0" applyFont="1" applyFill="1" applyBorder="1"/>
    <xf numFmtId="0" fontId="0" fillId="2" borderId="2" xfId="0" applyFill="1" applyBorder="1"/>
    <xf numFmtId="0" fontId="0" fillId="2" borderId="3" xfId="0" applyFill="1" applyBorder="1"/>
    <xf numFmtId="0" fontId="0" fillId="2" borderId="4" xfId="0" applyFill="1" applyBorder="1"/>
    <xf numFmtId="0" fontId="5" fillId="2" borderId="3" xfId="0" applyFont="1" applyFill="1" applyBorder="1"/>
    <xf numFmtId="0" fontId="5" fillId="2" borderId="4" xfId="0" applyFont="1" applyFill="1" applyBorder="1"/>
    <xf numFmtId="0" fontId="8" fillId="2" borderId="3" xfId="0" applyFont="1" applyFill="1" applyBorder="1"/>
    <xf numFmtId="0" fontId="8" fillId="2" borderId="4" xfId="0" applyFont="1" applyFill="1" applyBorder="1"/>
    <xf numFmtId="0" fontId="9" fillId="2" borderId="3" xfId="0" applyFont="1" applyFill="1" applyBorder="1"/>
    <xf numFmtId="0" fontId="9" fillId="2" borderId="4" xfId="0" applyFont="1" applyFill="1" applyBorder="1"/>
    <xf numFmtId="0" fontId="0" fillId="2" borderId="5" xfId="0" applyFill="1" applyBorder="1"/>
    <xf numFmtId="0" fontId="0" fillId="2" borderId="6" xfId="0" applyFill="1" applyBorder="1"/>
    <xf numFmtId="0" fontId="8" fillId="2" borderId="0" xfId="0" applyFont="1" applyFill="1"/>
    <xf numFmtId="164" fontId="9" fillId="2" borderId="0" xfId="0" applyNumberFormat="1" applyFont="1" applyFill="1"/>
    <xf numFmtId="0" fontId="5" fillId="4" borderId="3" xfId="0" applyFont="1" applyFill="1" applyBorder="1"/>
    <xf numFmtId="0" fontId="5" fillId="4" borderId="4" xfId="0" applyFont="1" applyFill="1" applyBorder="1"/>
    <xf numFmtId="0" fontId="11" fillId="3" borderId="0" xfId="0" applyFont="1" applyFill="1"/>
    <xf numFmtId="0" fontId="12" fillId="2" borderId="0" xfId="0" applyFont="1" applyFill="1"/>
    <xf numFmtId="0" fontId="9" fillId="2" borderId="0" xfId="0" applyFont="1" applyFill="1"/>
    <xf numFmtId="0" fontId="13" fillId="2" borderId="0" xfId="0" applyFont="1" applyFill="1"/>
    <xf numFmtId="0" fontId="14" fillId="2" borderId="0" xfId="0" applyFont="1" applyFill="1" applyAlignment="1">
      <alignment horizontal="left" vertical="center" indent="1"/>
    </xf>
    <xf numFmtId="0" fontId="15" fillId="0" borderId="0" xfId="0" applyFont="1" applyAlignment="1">
      <alignment vertical="center"/>
    </xf>
    <xf numFmtId="0" fontId="10" fillId="2" borderId="7" xfId="0" applyFont="1" applyFill="1" applyBorder="1" applyAlignment="1">
      <alignment horizontal="left" vertical="center" indent="1"/>
    </xf>
    <xf numFmtId="0" fontId="10" fillId="2" borderId="8" xfId="0" applyFont="1" applyFill="1" applyBorder="1"/>
    <xf numFmtId="0" fontId="10" fillId="2" borderId="5" xfId="0" applyFont="1" applyFill="1" applyBorder="1"/>
    <xf numFmtId="0" fontId="10" fillId="2" borderId="6" xfId="0" applyFont="1" applyFill="1" applyBorder="1"/>
    <xf numFmtId="0" fontId="3" fillId="2" borderId="3" xfId="0" applyFont="1" applyFill="1" applyBorder="1"/>
    <xf numFmtId="0" fontId="0" fillId="2" borderId="0" xfId="0" applyFill="1" applyAlignment="1">
      <alignment horizontal="left" indent="2"/>
    </xf>
    <xf numFmtId="0" fontId="5" fillId="8" borderId="3" xfId="0" applyFont="1" applyFill="1" applyBorder="1"/>
    <xf numFmtId="0" fontId="5" fillId="8" borderId="4" xfId="0" applyFont="1" applyFill="1" applyBorder="1"/>
    <xf numFmtId="0" fontId="4" fillId="2" borderId="0" xfId="0" applyFont="1" applyFill="1" applyAlignment="1">
      <alignment horizontal="left"/>
    </xf>
    <xf numFmtId="0" fontId="0" fillId="4" borderId="0" xfId="0" applyFill="1"/>
    <xf numFmtId="0" fontId="0" fillId="5" borderId="0" xfId="0" applyFill="1"/>
    <xf numFmtId="0" fontId="0" fillId="6" borderId="0" xfId="0" applyFill="1"/>
    <xf numFmtId="0" fontId="0" fillId="7" borderId="0" xfId="0" applyFill="1"/>
    <xf numFmtId="0" fontId="0" fillId="2" borderId="9" xfId="0" applyFill="1" applyBorder="1"/>
    <xf numFmtId="0" fontId="14" fillId="2" borderId="9" xfId="0" applyFont="1" applyFill="1" applyBorder="1" applyAlignment="1">
      <alignment vertical="center"/>
    </xf>
    <xf numFmtId="0" fontId="0" fillId="2" borderId="10" xfId="0" applyFill="1" applyBorder="1"/>
    <xf numFmtId="0" fontId="14" fillId="2" borderId="10" xfId="0" applyFont="1" applyFill="1" applyBorder="1" applyAlignment="1">
      <alignment vertical="center"/>
    </xf>
    <xf numFmtId="164" fontId="0" fillId="2" borderId="9" xfId="0" applyNumberFormat="1" applyFill="1" applyBorder="1"/>
    <xf numFmtId="164" fontId="0" fillId="2" borderId="10" xfId="0" applyNumberFormat="1" applyFill="1" applyBorder="1"/>
    <xf numFmtId="164" fontId="0" fillId="2" borderId="11" xfId="0" applyNumberFormat="1" applyFill="1" applyBorder="1"/>
    <xf numFmtId="0" fontId="17" fillId="2" borderId="0" xfId="2" applyFill="1"/>
    <xf numFmtId="0" fontId="18" fillId="2" borderId="0" xfId="0" applyFont="1" applyFill="1"/>
    <xf numFmtId="0" fontId="19" fillId="2" borderId="3" xfId="0" applyFont="1" applyFill="1" applyBorder="1"/>
    <xf numFmtId="0" fontId="19" fillId="2" borderId="4" xfId="0" applyFont="1" applyFill="1" applyBorder="1"/>
    <xf numFmtId="0" fontId="20" fillId="2" borderId="0" xfId="0" applyFont="1" applyFill="1"/>
    <xf numFmtId="0" fontId="22" fillId="2" borderId="0" xfId="0" applyFont="1" applyFill="1"/>
    <xf numFmtId="0" fontId="14" fillId="2" borderId="0" xfId="0" applyFont="1" applyFill="1"/>
    <xf numFmtId="0" fontId="9" fillId="2" borderId="10" xfId="0" applyFont="1" applyFill="1" applyBorder="1"/>
    <xf numFmtId="0" fontId="9" fillId="2" borderId="9" xfId="0" applyFont="1" applyFill="1" applyBorder="1"/>
    <xf numFmtId="0" fontId="3" fillId="5" borderId="13" xfId="0" applyFont="1" applyFill="1" applyBorder="1" applyAlignment="1">
      <alignment horizontal="centerContinuous"/>
    </xf>
    <xf numFmtId="0" fontId="0" fillId="5" borderId="13" xfId="0" applyFill="1" applyBorder="1" applyAlignment="1">
      <alignment horizontal="centerContinuous"/>
    </xf>
    <xf numFmtId="0" fontId="0" fillId="5" borderId="14" xfId="0" applyFill="1" applyBorder="1" applyAlignment="1">
      <alignment horizontal="centerContinuous"/>
    </xf>
    <xf numFmtId="0" fontId="15" fillId="5" borderId="16" xfId="0" applyFont="1" applyFill="1" applyBorder="1" applyAlignment="1">
      <alignment vertical="center"/>
    </xf>
    <xf numFmtId="0" fontId="14" fillId="2" borderId="18" xfId="0" applyFont="1" applyFill="1" applyBorder="1" applyAlignment="1">
      <alignment vertical="center"/>
    </xf>
    <xf numFmtId="0" fontId="14" fillId="2" borderId="20" xfId="0" applyFont="1" applyFill="1" applyBorder="1" applyAlignment="1">
      <alignment vertical="center"/>
    </xf>
    <xf numFmtId="0" fontId="0" fillId="2" borderId="22" xfId="0" applyFill="1" applyBorder="1"/>
    <xf numFmtId="0" fontId="9" fillId="2" borderId="22" xfId="0" applyFont="1" applyFill="1" applyBorder="1"/>
    <xf numFmtId="0" fontId="14" fillId="2" borderId="22" xfId="0" applyFont="1" applyFill="1" applyBorder="1" applyAlignment="1">
      <alignment vertical="center"/>
    </xf>
    <xf numFmtId="0" fontId="14" fillId="2" borderId="23" xfId="0" applyFont="1" applyFill="1" applyBorder="1" applyAlignment="1">
      <alignment vertical="center"/>
    </xf>
    <xf numFmtId="164" fontId="25" fillId="2" borderId="10" xfId="0" applyNumberFormat="1" applyFont="1" applyFill="1" applyBorder="1"/>
    <xf numFmtId="0" fontId="15" fillId="2" borderId="0" xfId="0" applyFont="1" applyFill="1" applyAlignment="1">
      <alignment vertical="center"/>
    </xf>
    <xf numFmtId="0" fontId="3" fillId="6" borderId="24" xfId="0" applyFont="1" applyFill="1" applyBorder="1"/>
    <xf numFmtId="164" fontId="3" fillId="2" borderId="0" xfId="0" applyNumberFormat="1" applyFont="1" applyFill="1"/>
    <xf numFmtId="0" fontId="7" fillId="2" borderId="3" xfId="0" applyFont="1" applyFill="1" applyBorder="1"/>
    <xf numFmtId="0" fontId="0" fillId="2" borderId="3" xfId="0" applyFill="1" applyBorder="1" applyAlignment="1">
      <alignment horizontal="left" indent="1"/>
    </xf>
    <xf numFmtId="0" fontId="3" fillId="2" borderId="3" xfId="0" applyFont="1" applyFill="1" applyBorder="1" applyAlignment="1">
      <alignment horizontal="left"/>
    </xf>
    <xf numFmtId="0" fontId="0" fillId="2" borderId="5" xfId="0" applyFill="1" applyBorder="1" applyAlignment="1">
      <alignment horizontal="left" indent="1"/>
    </xf>
    <xf numFmtId="0" fontId="0" fillId="2" borderId="3" xfId="0" applyFill="1" applyBorder="1" applyAlignment="1">
      <alignment horizontal="left"/>
    </xf>
    <xf numFmtId="0" fontId="3" fillId="2" borderId="5" xfId="0" applyFont="1" applyFill="1" applyBorder="1" applyAlignment="1">
      <alignment horizontal="left"/>
    </xf>
    <xf numFmtId="0" fontId="5" fillId="9" borderId="0" xfId="0" applyFont="1" applyFill="1" applyProtection="1">
      <protection locked="0"/>
    </xf>
    <xf numFmtId="0" fontId="0" fillId="9" borderId="0" xfId="0" applyFill="1" applyAlignment="1" applyProtection="1">
      <alignment horizontal="left" indent="1"/>
      <protection locked="0"/>
    </xf>
    <xf numFmtId="164" fontId="5" fillId="9" borderId="0" xfId="0" applyNumberFormat="1" applyFont="1" applyFill="1" applyProtection="1">
      <protection locked="0"/>
    </xf>
    <xf numFmtId="164" fontId="13" fillId="4" borderId="0" xfId="0" applyNumberFormat="1" applyFont="1" applyFill="1" applyProtection="1">
      <protection locked="0"/>
    </xf>
    <xf numFmtId="0" fontId="13" fillId="4" borderId="0" xfId="0" applyFont="1" applyFill="1" applyProtection="1">
      <protection locked="0"/>
    </xf>
    <xf numFmtId="0" fontId="3" fillId="6" borderId="25" xfId="0" applyFont="1" applyFill="1" applyBorder="1" applyAlignment="1">
      <alignment horizontal="centerContinuous"/>
    </xf>
    <xf numFmtId="0" fontId="0" fillId="6" borderId="14" xfId="0" applyFill="1" applyBorder="1" applyAlignment="1">
      <alignment horizontal="centerContinuous"/>
    </xf>
    <xf numFmtId="0" fontId="0" fillId="2" borderId="17" xfId="0" applyFill="1" applyBorder="1"/>
    <xf numFmtId="164" fontId="0" fillId="2" borderId="18" xfId="0" applyNumberFormat="1" applyFill="1" applyBorder="1"/>
    <xf numFmtId="0" fontId="0" fillId="2" borderId="19" xfId="0" applyFill="1" applyBorder="1"/>
    <xf numFmtId="164" fontId="0" fillId="2" borderId="20" xfId="0" applyNumberFormat="1" applyFill="1" applyBorder="1"/>
    <xf numFmtId="0" fontId="0" fillId="2" borderId="21" xfId="0" applyFill="1" applyBorder="1"/>
    <xf numFmtId="164" fontId="0" fillId="2" borderId="23" xfId="0" applyNumberFormat="1" applyFill="1" applyBorder="1"/>
    <xf numFmtId="0" fontId="3" fillId="7" borderId="25" xfId="0" applyFont="1" applyFill="1" applyBorder="1" applyAlignment="1">
      <alignment horizontal="centerContinuous"/>
    </xf>
    <xf numFmtId="0" fontId="3" fillId="7" borderId="14" xfId="0" applyFont="1" applyFill="1" applyBorder="1" applyAlignment="1">
      <alignment horizontal="centerContinuous"/>
    </xf>
    <xf numFmtId="164" fontId="0" fillId="2" borderId="17" xfId="0" applyNumberFormat="1" applyFill="1" applyBorder="1"/>
    <xf numFmtId="164" fontId="0" fillId="2" borderId="19" xfId="0" applyNumberFormat="1" applyFill="1" applyBorder="1"/>
    <xf numFmtId="164" fontId="0" fillId="2" borderId="21" xfId="0" applyNumberFormat="1" applyFill="1" applyBorder="1"/>
    <xf numFmtId="0" fontId="3" fillId="7" borderId="26" xfId="0" applyFont="1" applyFill="1" applyBorder="1"/>
    <xf numFmtId="0" fontId="3" fillId="7" borderId="27" xfId="0" applyFont="1" applyFill="1" applyBorder="1"/>
    <xf numFmtId="0" fontId="3" fillId="6" borderId="26" xfId="0" applyFont="1" applyFill="1" applyBorder="1"/>
    <xf numFmtId="0" fontId="3" fillId="6" borderId="27" xfId="0" applyFont="1" applyFill="1" applyBorder="1"/>
    <xf numFmtId="0" fontId="5" fillId="4" borderId="17" xfId="0" applyFont="1" applyFill="1" applyBorder="1" applyProtection="1">
      <protection locked="0"/>
    </xf>
    <xf numFmtId="0" fontId="5" fillId="4" borderId="19" xfId="0" applyFont="1" applyFill="1" applyBorder="1" applyProtection="1">
      <protection locked="0"/>
    </xf>
    <xf numFmtId="0" fontId="3" fillId="5" borderId="28" xfId="0" applyFont="1" applyFill="1" applyBorder="1" applyAlignment="1">
      <alignment horizontal="centerContinuous"/>
    </xf>
    <xf numFmtId="0" fontId="5" fillId="4" borderId="29" xfId="0" applyFont="1" applyFill="1" applyBorder="1" applyProtection="1">
      <protection locked="0"/>
    </xf>
    <xf numFmtId="0" fontId="0" fillId="2" borderId="18" xfId="0" applyFill="1" applyBorder="1"/>
    <xf numFmtId="0" fontId="0" fillId="2" borderId="20" xfId="0" applyFill="1" applyBorder="1"/>
    <xf numFmtId="0" fontId="5" fillId="4" borderId="5" xfId="0" applyFont="1" applyFill="1" applyBorder="1" applyProtection="1">
      <protection locked="0"/>
    </xf>
    <xf numFmtId="0" fontId="0" fillId="2" borderId="23" xfId="0" applyFill="1" applyBorder="1"/>
    <xf numFmtId="0" fontId="0" fillId="6" borderId="13" xfId="0" applyFill="1" applyBorder="1" applyAlignment="1">
      <alignment horizontal="centerContinuous"/>
    </xf>
    <xf numFmtId="164" fontId="0" fillId="2" borderId="29" xfId="0" applyNumberFormat="1" applyFill="1" applyBorder="1"/>
    <xf numFmtId="0" fontId="0" fillId="2" borderId="30" xfId="0" applyFill="1" applyBorder="1"/>
    <xf numFmtId="164" fontId="0" fillId="2" borderId="22" xfId="0" applyNumberFormat="1" applyFill="1" applyBorder="1"/>
    <xf numFmtId="0" fontId="0" fillId="7" borderId="14" xfId="0" applyFill="1" applyBorder="1" applyAlignment="1">
      <alignment horizontal="centerContinuous"/>
    </xf>
    <xf numFmtId="164" fontId="0" fillId="2" borderId="30" xfId="0" applyNumberFormat="1" applyFill="1" applyBorder="1"/>
    <xf numFmtId="164" fontId="25" fillId="2" borderId="20" xfId="0" applyNumberFormat="1" applyFont="1" applyFill="1" applyBorder="1"/>
    <xf numFmtId="0" fontId="28" fillId="10" borderId="31" xfId="0" applyFont="1" applyFill="1" applyBorder="1"/>
    <xf numFmtId="9" fontId="29" fillId="10" borderId="32" xfId="1" applyFont="1" applyFill="1" applyBorder="1"/>
    <xf numFmtId="0" fontId="27" fillId="4" borderId="12" xfId="0" applyFont="1" applyFill="1" applyBorder="1" applyAlignment="1">
      <alignment horizontal="center"/>
    </xf>
    <xf numFmtId="0" fontId="15" fillId="5" borderId="8" xfId="0" applyFont="1" applyFill="1" applyBorder="1" applyAlignment="1">
      <alignment vertical="center" wrapText="1"/>
    </xf>
    <xf numFmtId="0" fontId="15" fillId="5" borderId="24" xfId="0" applyFont="1" applyFill="1" applyBorder="1" applyAlignment="1">
      <alignment vertical="center" wrapText="1"/>
    </xf>
    <xf numFmtId="0" fontId="15" fillId="5" borderId="27" xfId="0" applyFont="1" applyFill="1" applyBorder="1" applyAlignment="1">
      <alignment vertical="center" wrapText="1"/>
    </xf>
    <xf numFmtId="0" fontId="3" fillId="4" borderId="15" xfId="0" applyFont="1" applyFill="1" applyBorder="1" applyAlignment="1">
      <alignment horizontal="center" wrapText="1"/>
    </xf>
    <xf numFmtId="0" fontId="15" fillId="5" borderId="7" xfId="0" applyFont="1" applyFill="1" applyBorder="1" applyAlignment="1">
      <alignment vertical="center" wrapText="1"/>
    </xf>
    <xf numFmtId="0" fontId="30" fillId="2" borderId="0" xfId="0" applyFont="1"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49529</xdr:colOff>
      <xdr:row>11</xdr:row>
      <xdr:rowOff>30713</xdr:rowOff>
    </xdr:from>
    <xdr:to>
      <xdr:col>9</xdr:col>
      <xdr:colOff>172361</xdr:colOff>
      <xdr:row>16</xdr:row>
      <xdr:rowOff>93526</xdr:rowOff>
    </xdr:to>
    <xdr:pic>
      <xdr:nvPicPr>
        <xdr:cNvPr id="2" name="Picture 1">
          <a:extLst>
            <a:ext uri="{FF2B5EF4-FFF2-40B4-BE49-F238E27FC236}">
              <a16:creationId xmlns:a16="http://schemas.microsoft.com/office/drawing/2014/main" id="{BD262646-8B05-3EAB-1AFF-2DFD8A63CDA5}"/>
            </a:ext>
          </a:extLst>
        </xdr:cNvPr>
        <xdr:cNvPicPr>
          <a:picLocks noChangeAspect="1"/>
        </xdr:cNvPicPr>
      </xdr:nvPicPr>
      <xdr:blipFill>
        <a:blip xmlns:r="http://schemas.openxmlformats.org/officeDocument/2006/relationships" r:embed="rId1"/>
        <a:stretch>
          <a:fillRect/>
        </a:stretch>
      </xdr:blipFill>
      <xdr:spPr>
        <a:xfrm>
          <a:off x="659129" y="2021438"/>
          <a:ext cx="4995822" cy="981023"/>
        </a:xfrm>
        <a:prstGeom prst="rect">
          <a:avLst/>
        </a:prstGeom>
      </xdr:spPr>
    </xdr:pic>
    <xdr:clientData/>
  </xdr:twoCellAnchor>
  <xdr:twoCellAnchor editAs="oneCell">
    <xdr:from>
      <xdr:col>0</xdr:col>
      <xdr:colOff>541851</xdr:colOff>
      <xdr:row>162</xdr:row>
      <xdr:rowOff>150495</xdr:rowOff>
    </xdr:from>
    <xdr:to>
      <xdr:col>7</xdr:col>
      <xdr:colOff>399218</xdr:colOff>
      <xdr:row>176</xdr:row>
      <xdr:rowOff>93990</xdr:rowOff>
    </xdr:to>
    <xdr:pic>
      <xdr:nvPicPr>
        <xdr:cNvPr id="22" name="Picture 21">
          <a:extLst>
            <a:ext uri="{FF2B5EF4-FFF2-40B4-BE49-F238E27FC236}">
              <a16:creationId xmlns:a16="http://schemas.microsoft.com/office/drawing/2014/main" id="{4288C35A-499E-E307-D172-3F0267E63493}"/>
            </a:ext>
          </a:extLst>
        </xdr:cNvPr>
        <xdr:cNvPicPr>
          <a:picLocks noChangeAspect="1"/>
        </xdr:cNvPicPr>
      </xdr:nvPicPr>
      <xdr:blipFill>
        <a:blip xmlns:r="http://schemas.openxmlformats.org/officeDocument/2006/relationships" r:embed="rId2"/>
        <a:stretch>
          <a:fillRect/>
        </a:stretch>
      </xdr:blipFill>
      <xdr:spPr>
        <a:xfrm>
          <a:off x="541851" y="31278195"/>
          <a:ext cx="4135997" cy="2488575"/>
        </a:xfrm>
        <a:prstGeom prst="rect">
          <a:avLst/>
        </a:prstGeom>
      </xdr:spPr>
    </xdr:pic>
    <xdr:clientData/>
  </xdr:twoCellAnchor>
  <xdr:twoCellAnchor editAs="oneCell">
    <xdr:from>
      <xdr:col>1</xdr:col>
      <xdr:colOff>158115</xdr:colOff>
      <xdr:row>18</xdr:row>
      <xdr:rowOff>137150</xdr:rowOff>
    </xdr:from>
    <xdr:to>
      <xdr:col>9</xdr:col>
      <xdr:colOff>589763</xdr:colOff>
      <xdr:row>24</xdr:row>
      <xdr:rowOff>55461</xdr:rowOff>
    </xdr:to>
    <xdr:pic>
      <xdr:nvPicPr>
        <xdr:cNvPr id="3" name="Picture 2">
          <a:extLst>
            <a:ext uri="{FF2B5EF4-FFF2-40B4-BE49-F238E27FC236}">
              <a16:creationId xmlns:a16="http://schemas.microsoft.com/office/drawing/2014/main" id="{19073F91-91B9-77C8-3535-D77B6BA27B41}"/>
            </a:ext>
          </a:extLst>
        </xdr:cNvPr>
        <xdr:cNvPicPr>
          <a:picLocks noChangeAspect="1"/>
        </xdr:cNvPicPr>
      </xdr:nvPicPr>
      <xdr:blipFill>
        <a:blip xmlns:r="http://schemas.openxmlformats.org/officeDocument/2006/relationships" r:embed="rId3"/>
        <a:stretch>
          <a:fillRect/>
        </a:stretch>
      </xdr:blipFill>
      <xdr:spPr>
        <a:xfrm>
          <a:off x="763233" y="3364444"/>
          <a:ext cx="5272589" cy="994076"/>
        </a:xfrm>
        <a:prstGeom prst="rect">
          <a:avLst/>
        </a:prstGeom>
      </xdr:spPr>
    </xdr:pic>
    <xdr:clientData/>
  </xdr:twoCellAnchor>
  <xdr:twoCellAnchor editAs="oneCell">
    <xdr:from>
      <xdr:col>0</xdr:col>
      <xdr:colOff>403412</xdr:colOff>
      <xdr:row>183</xdr:row>
      <xdr:rowOff>123264</xdr:rowOff>
    </xdr:from>
    <xdr:to>
      <xdr:col>9</xdr:col>
      <xdr:colOff>326393</xdr:colOff>
      <xdr:row>186</xdr:row>
      <xdr:rowOff>153152</xdr:rowOff>
    </xdr:to>
    <xdr:pic>
      <xdr:nvPicPr>
        <xdr:cNvPr id="9" name="Picture 8">
          <a:extLst>
            <a:ext uri="{FF2B5EF4-FFF2-40B4-BE49-F238E27FC236}">
              <a16:creationId xmlns:a16="http://schemas.microsoft.com/office/drawing/2014/main" id="{670FE982-AFD6-431D-9B15-845EF93018ED}"/>
            </a:ext>
          </a:extLst>
        </xdr:cNvPr>
        <xdr:cNvPicPr>
          <a:picLocks noChangeAspect="1"/>
        </xdr:cNvPicPr>
      </xdr:nvPicPr>
      <xdr:blipFill>
        <a:blip xmlns:r="http://schemas.openxmlformats.org/officeDocument/2006/relationships" r:embed="rId4"/>
        <a:stretch>
          <a:fillRect/>
        </a:stretch>
      </xdr:blipFill>
      <xdr:spPr>
        <a:xfrm>
          <a:off x="403412" y="32934088"/>
          <a:ext cx="5372850" cy="567770"/>
        </a:xfrm>
        <a:prstGeom prst="rect">
          <a:avLst/>
        </a:prstGeom>
      </xdr:spPr>
    </xdr:pic>
    <xdr:clientData/>
  </xdr:twoCellAnchor>
  <xdr:twoCellAnchor editAs="oneCell">
    <xdr:from>
      <xdr:col>0</xdr:col>
      <xdr:colOff>549088</xdr:colOff>
      <xdr:row>32</xdr:row>
      <xdr:rowOff>179293</xdr:rowOff>
    </xdr:from>
    <xdr:to>
      <xdr:col>19</xdr:col>
      <xdr:colOff>420574</xdr:colOff>
      <xdr:row>35</xdr:row>
      <xdr:rowOff>98675</xdr:rowOff>
    </xdr:to>
    <xdr:pic>
      <xdr:nvPicPr>
        <xdr:cNvPr id="10" name="Picture 9">
          <a:extLst>
            <a:ext uri="{FF2B5EF4-FFF2-40B4-BE49-F238E27FC236}">
              <a16:creationId xmlns:a16="http://schemas.microsoft.com/office/drawing/2014/main" id="{1018C0B4-2E01-C4E7-C6C9-FAEC19DFA1AD}"/>
            </a:ext>
          </a:extLst>
        </xdr:cNvPr>
        <xdr:cNvPicPr>
          <a:picLocks noChangeAspect="1"/>
        </xdr:cNvPicPr>
      </xdr:nvPicPr>
      <xdr:blipFill>
        <a:blip xmlns:r="http://schemas.openxmlformats.org/officeDocument/2006/relationships" r:embed="rId5"/>
        <a:stretch>
          <a:fillRect/>
        </a:stretch>
      </xdr:blipFill>
      <xdr:spPr>
        <a:xfrm>
          <a:off x="549088" y="5916705"/>
          <a:ext cx="11368721" cy="453454"/>
        </a:xfrm>
        <a:prstGeom prst="rect">
          <a:avLst/>
        </a:prstGeom>
      </xdr:spPr>
    </xdr:pic>
    <xdr:clientData/>
  </xdr:twoCellAnchor>
  <xdr:twoCellAnchor editAs="oneCell">
    <xdr:from>
      <xdr:col>1</xdr:col>
      <xdr:colOff>67235</xdr:colOff>
      <xdr:row>44</xdr:row>
      <xdr:rowOff>11205</xdr:rowOff>
    </xdr:from>
    <xdr:to>
      <xdr:col>19</xdr:col>
      <xdr:colOff>517166</xdr:colOff>
      <xdr:row>45</xdr:row>
      <xdr:rowOff>131037</xdr:rowOff>
    </xdr:to>
    <xdr:pic>
      <xdr:nvPicPr>
        <xdr:cNvPr id="11" name="Picture 10">
          <a:extLst>
            <a:ext uri="{FF2B5EF4-FFF2-40B4-BE49-F238E27FC236}">
              <a16:creationId xmlns:a16="http://schemas.microsoft.com/office/drawing/2014/main" id="{8FE3290D-208C-CB3B-D314-554A1B76A389}"/>
            </a:ext>
          </a:extLst>
        </xdr:cNvPr>
        <xdr:cNvPicPr>
          <a:picLocks noChangeAspect="1"/>
        </xdr:cNvPicPr>
      </xdr:nvPicPr>
      <xdr:blipFill>
        <a:blip xmlns:r="http://schemas.openxmlformats.org/officeDocument/2006/relationships" r:embed="rId6"/>
        <a:stretch>
          <a:fillRect/>
        </a:stretch>
      </xdr:blipFill>
      <xdr:spPr>
        <a:xfrm>
          <a:off x="672353" y="7900146"/>
          <a:ext cx="11345858" cy="295316"/>
        </a:xfrm>
        <a:prstGeom prst="rect">
          <a:avLst/>
        </a:prstGeom>
      </xdr:spPr>
    </xdr:pic>
    <xdr:clientData/>
  </xdr:twoCellAnchor>
  <xdr:twoCellAnchor editAs="oneCell">
    <xdr:from>
      <xdr:col>1</xdr:col>
      <xdr:colOff>0</xdr:colOff>
      <xdr:row>54</xdr:row>
      <xdr:rowOff>96162</xdr:rowOff>
    </xdr:from>
    <xdr:to>
      <xdr:col>17</xdr:col>
      <xdr:colOff>200798</xdr:colOff>
      <xdr:row>64</xdr:row>
      <xdr:rowOff>160692</xdr:rowOff>
    </xdr:to>
    <xdr:pic>
      <xdr:nvPicPr>
        <xdr:cNvPr id="12" name="Picture 11">
          <a:extLst>
            <a:ext uri="{FF2B5EF4-FFF2-40B4-BE49-F238E27FC236}">
              <a16:creationId xmlns:a16="http://schemas.microsoft.com/office/drawing/2014/main" id="{D9A8A2B0-38A5-5A75-78F1-1D68033CBC3C}"/>
            </a:ext>
          </a:extLst>
        </xdr:cNvPr>
        <xdr:cNvPicPr>
          <a:picLocks noChangeAspect="1"/>
        </xdr:cNvPicPr>
      </xdr:nvPicPr>
      <xdr:blipFill>
        <a:blip xmlns:r="http://schemas.openxmlformats.org/officeDocument/2006/relationships" r:embed="rId7"/>
        <a:stretch>
          <a:fillRect/>
        </a:stretch>
      </xdr:blipFill>
      <xdr:spPr>
        <a:xfrm>
          <a:off x="605118" y="9778044"/>
          <a:ext cx="9878870" cy="1853662"/>
        </a:xfrm>
        <a:prstGeom prst="rect">
          <a:avLst/>
        </a:prstGeom>
      </xdr:spPr>
    </xdr:pic>
    <xdr:clientData/>
  </xdr:twoCellAnchor>
  <xdr:twoCellAnchor editAs="oneCell">
    <xdr:from>
      <xdr:col>1</xdr:col>
      <xdr:colOff>123092</xdr:colOff>
      <xdr:row>67</xdr:row>
      <xdr:rowOff>70820</xdr:rowOff>
    </xdr:from>
    <xdr:to>
      <xdr:col>6</xdr:col>
      <xdr:colOff>180975</xdr:colOff>
      <xdr:row>83</xdr:row>
      <xdr:rowOff>99094</xdr:rowOff>
    </xdr:to>
    <xdr:pic>
      <xdr:nvPicPr>
        <xdr:cNvPr id="13" name="Picture 12">
          <a:extLst>
            <a:ext uri="{FF2B5EF4-FFF2-40B4-BE49-F238E27FC236}">
              <a16:creationId xmlns:a16="http://schemas.microsoft.com/office/drawing/2014/main" id="{1E0E8D2F-16A2-1911-B658-6126404CA542}"/>
            </a:ext>
          </a:extLst>
        </xdr:cNvPr>
        <xdr:cNvPicPr>
          <a:picLocks noChangeAspect="1"/>
        </xdr:cNvPicPr>
      </xdr:nvPicPr>
      <xdr:blipFill>
        <a:blip xmlns:r="http://schemas.openxmlformats.org/officeDocument/2006/relationships" r:embed="rId8"/>
        <a:stretch>
          <a:fillRect/>
        </a:stretch>
      </xdr:blipFill>
      <xdr:spPr>
        <a:xfrm>
          <a:off x="728210" y="12083526"/>
          <a:ext cx="3083471" cy="2896980"/>
        </a:xfrm>
        <a:prstGeom prst="rect">
          <a:avLst/>
        </a:prstGeom>
      </xdr:spPr>
    </xdr:pic>
    <xdr:clientData/>
  </xdr:twoCellAnchor>
  <xdr:twoCellAnchor editAs="oneCell">
    <xdr:from>
      <xdr:col>1</xdr:col>
      <xdr:colOff>112058</xdr:colOff>
      <xdr:row>91</xdr:row>
      <xdr:rowOff>29350</xdr:rowOff>
    </xdr:from>
    <xdr:to>
      <xdr:col>19</xdr:col>
      <xdr:colOff>491627</xdr:colOff>
      <xdr:row>102</xdr:row>
      <xdr:rowOff>101722</xdr:rowOff>
    </xdr:to>
    <xdr:pic>
      <xdr:nvPicPr>
        <xdr:cNvPr id="14" name="Picture 13">
          <a:extLst>
            <a:ext uri="{FF2B5EF4-FFF2-40B4-BE49-F238E27FC236}">
              <a16:creationId xmlns:a16="http://schemas.microsoft.com/office/drawing/2014/main" id="{6A5574F2-B022-5784-60F0-03EA64EBD2F3}"/>
            </a:ext>
          </a:extLst>
        </xdr:cNvPr>
        <xdr:cNvPicPr>
          <a:picLocks noChangeAspect="1"/>
        </xdr:cNvPicPr>
      </xdr:nvPicPr>
      <xdr:blipFill>
        <a:blip xmlns:r="http://schemas.openxmlformats.org/officeDocument/2006/relationships" r:embed="rId9"/>
        <a:stretch>
          <a:fillRect/>
        </a:stretch>
      </xdr:blipFill>
      <xdr:spPr>
        <a:xfrm>
          <a:off x="717176" y="16345115"/>
          <a:ext cx="11271686" cy="2046512"/>
        </a:xfrm>
        <a:prstGeom prst="rect">
          <a:avLst/>
        </a:prstGeom>
      </xdr:spPr>
    </xdr:pic>
    <xdr:clientData/>
  </xdr:twoCellAnchor>
  <xdr:twoCellAnchor editAs="oneCell">
    <xdr:from>
      <xdr:col>1</xdr:col>
      <xdr:colOff>278661</xdr:colOff>
      <xdr:row>104</xdr:row>
      <xdr:rowOff>47624</xdr:rowOff>
    </xdr:from>
    <xdr:to>
      <xdr:col>6</xdr:col>
      <xdr:colOff>171991</xdr:colOff>
      <xdr:row>120</xdr:row>
      <xdr:rowOff>29106</xdr:rowOff>
    </xdr:to>
    <xdr:pic>
      <xdr:nvPicPr>
        <xdr:cNvPr id="24" name="Picture 23">
          <a:extLst>
            <a:ext uri="{FF2B5EF4-FFF2-40B4-BE49-F238E27FC236}">
              <a16:creationId xmlns:a16="http://schemas.microsoft.com/office/drawing/2014/main" id="{BCB32CFC-898C-C580-A5C5-62B4E4673309}"/>
            </a:ext>
          </a:extLst>
        </xdr:cNvPr>
        <xdr:cNvPicPr>
          <a:picLocks noChangeAspect="1"/>
        </xdr:cNvPicPr>
      </xdr:nvPicPr>
      <xdr:blipFill>
        <a:blip xmlns:r="http://schemas.openxmlformats.org/officeDocument/2006/relationships" r:embed="rId10"/>
        <a:stretch>
          <a:fillRect/>
        </a:stretch>
      </xdr:blipFill>
      <xdr:spPr>
        <a:xfrm>
          <a:off x="888261" y="18869024"/>
          <a:ext cx="2937520" cy="2878987"/>
        </a:xfrm>
        <a:prstGeom prst="rect">
          <a:avLst/>
        </a:prstGeom>
      </xdr:spPr>
    </xdr:pic>
    <xdr:clientData/>
  </xdr:twoCellAnchor>
  <xdr:twoCellAnchor editAs="oneCell">
    <xdr:from>
      <xdr:col>1</xdr:col>
      <xdr:colOff>123264</xdr:colOff>
      <xdr:row>140</xdr:row>
      <xdr:rowOff>67236</xdr:rowOff>
    </xdr:from>
    <xdr:to>
      <xdr:col>6</xdr:col>
      <xdr:colOff>16594</xdr:colOff>
      <xdr:row>156</xdr:row>
      <xdr:rowOff>50623</xdr:rowOff>
    </xdr:to>
    <xdr:pic>
      <xdr:nvPicPr>
        <xdr:cNvPr id="25" name="Picture 24">
          <a:extLst>
            <a:ext uri="{FF2B5EF4-FFF2-40B4-BE49-F238E27FC236}">
              <a16:creationId xmlns:a16="http://schemas.microsoft.com/office/drawing/2014/main" id="{6F10E84D-ECCB-4F85-BC87-E479E87AF6FE}"/>
            </a:ext>
          </a:extLst>
        </xdr:cNvPr>
        <xdr:cNvPicPr>
          <a:picLocks noChangeAspect="1"/>
        </xdr:cNvPicPr>
      </xdr:nvPicPr>
      <xdr:blipFill>
        <a:blip xmlns:r="http://schemas.openxmlformats.org/officeDocument/2006/relationships" r:embed="rId10"/>
        <a:stretch>
          <a:fillRect/>
        </a:stretch>
      </xdr:blipFill>
      <xdr:spPr>
        <a:xfrm>
          <a:off x="728382" y="25168412"/>
          <a:ext cx="2915108" cy="2850188"/>
        </a:xfrm>
        <a:prstGeom prst="rect">
          <a:avLst/>
        </a:prstGeom>
      </xdr:spPr>
    </xdr:pic>
    <xdr:clientData/>
  </xdr:twoCellAnchor>
  <xdr:twoCellAnchor editAs="oneCell">
    <xdr:from>
      <xdr:col>1</xdr:col>
      <xdr:colOff>102757</xdr:colOff>
      <xdr:row>128</xdr:row>
      <xdr:rowOff>50272</xdr:rowOff>
    </xdr:from>
    <xdr:to>
      <xdr:col>17</xdr:col>
      <xdr:colOff>43617</xdr:colOff>
      <xdr:row>138</xdr:row>
      <xdr:rowOff>138728</xdr:rowOff>
    </xdr:to>
    <xdr:pic>
      <xdr:nvPicPr>
        <xdr:cNvPr id="26" name="Picture 25">
          <a:extLst>
            <a:ext uri="{FF2B5EF4-FFF2-40B4-BE49-F238E27FC236}">
              <a16:creationId xmlns:a16="http://schemas.microsoft.com/office/drawing/2014/main" id="{4D01F850-7B93-15EF-398D-DC2B986DE764}"/>
            </a:ext>
          </a:extLst>
        </xdr:cNvPr>
        <xdr:cNvPicPr>
          <a:picLocks noChangeAspect="1"/>
        </xdr:cNvPicPr>
      </xdr:nvPicPr>
      <xdr:blipFill>
        <a:blip xmlns:r="http://schemas.openxmlformats.org/officeDocument/2006/relationships" r:embed="rId11"/>
        <a:stretch>
          <a:fillRect/>
        </a:stretch>
      </xdr:blipFill>
      <xdr:spPr>
        <a:xfrm>
          <a:off x="707875" y="22999919"/>
          <a:ext cx="9622742" cy="18813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cgcloud.sharepoint.com/sites/387229-22/Shared%20Documents/07%20From%20client/02%20Solutions/27.%20Capital%20Allocation%20model/Capital%20Allocation%20-%20v7.xlsx" TargetMode="External"/><Relationship Id="rId1" Type="http://schemas.openxmlformats.org/officeDocument/2006/relationships/externalLinkPath" Target="/sites/387229-22/Shared%20Documents/07%20From%20client/02%20Solutions/27.%20Capital%20Allocation%20model/Capital%20Allocation%20-%20v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gcloud-my.sharepoint.com/personal/buckley_caitlin_bcg_com/Documents/Documents/bcg-vsc39e2d59b397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cgcloud-my.sharepoint.com/Users/Brice%20Jonathan/Desktop/Greg%20handover%20files/COA%20handover%20-%20part%202/20191103%20NAMCE%20Costs%20vHandover.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cbre.sharepoint.com/teams/ProjectThunder/Shared%20Documents/2024%20Cost%20Savings%20Analysis/Synergy%20Requirements%20vGenesis-3.xlsx" TargetMode="External"/><Relationship Id="rId1" Type="http://schemas.openxmlformats.org/officeDocument/2006/relationships/externalLinkPath" Target="https://cbre.sharepoint.com/teams/ProjectThunder/Shared%20Documents/2024%20Cost%20Savings%20Analysis/Synergy%20Requirements%20vGenesis-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_FDSCACHE__"/>
      <sheetName val="To-Do"/>
      <sheetName val="Scenario Toggle"/>
      <sheetName val="Cognos_Office_Connection_Cache"/>
      <sheetName val="Output"/>
      <sheetName val="Growth Summary"/>
      <sheetName val="LOB Summary"/>
      <sheetName val="IRR Model"/>
      <sheetName val="ROIC"/>
      <sheetName val="Share Repurchases"/>
      <sheetName val="CBRE EPS CAGR Check"/>
      <sheetName val="Financial Model - Annual"/>
      <sheetName val="Non-Controlling Interest"/>
      <sheetName val="LOB Financials - Rev"/>
      <sheetName val="LOB Financials - SOP"/>
      <sheetName val="TM1 Financials - Rev"/>
      <sheetName val="TM1 Financials - SOP"/>
      <sheetName val="EPS CAGR"/>
      <sheetName val="CBRE Historical E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Reports"/>
      <sheetName val="Help"/>
      <sheetName val="MS"/>
      <sheetName val="Sheet1"/>
      <sheetName val="AON"/>
      <sheetName val="FISV"/>
      <sheetName val="ACN"/>
      <sheetName val="Sheet2"/>
      <sheetName val="The_End"/>
      <sheetName val="bcg-vsc39e2d59b397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ssumptions"/>
      <sheetName val="Calculations&gt;"/>
      <sheetName val="Labor needs"/>
      <sheetName val="Labor"/>
      <sheetName val="Eng_ISR"/>
      <sheetName val="Parts"/>
      <sheetName val="Infrastructure"/>
      <sheetName val="Data&gt;"/>
      <sheetName val="Eng hours_Farzad"/>
      <sheetName val="Parts on order"/>
      <sheetName val="Parts on order_Raw"/>
      <sheetName val="NAMCE Parts Data"/>
      <sheetName val="Parts Cost"/>
      <sheetName val="IMRL"/>
      <sheetName val="Mod_TD Cost"/>
      <sheetName val="BUNO orde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_FDSCACHE__"/>
      <sheetName val="Cognos_Office_Connection_Cache"/>
      <sheetName val="Summary - New"/>
      <sheetName val="Output - New"/>
      <sheetName val="Non-Controlling Interest"/>
      <sheetName val="LOB Financials - SOP"/>
      <sheetName val="Synergy Details"/>
      <sheetName val="LOB Financials - Rev"/>
      <sheetName val="TM1 Financials - Rev"/>
      <sheetName val="TM1 Financials - SOP"/>
      <sheetName val="Notes"/>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82996-FEC1-4153-9ED8-4D0E8C21BA9B}">
  <sheetPr>
    <tabColor rgb="FF7030A0"/>
  </sheetPr>
  <dimension ref="A2:B183"/>
  <sheetViews>
    <sheetView zoomScale="85" zoomScaleNormal="85" workbookViewId="0"/>
  </sheetViews>
  <sheetFormatPr defaultColWidth="8.88671875" defaultRowHeight="14.4" x14ac:dyDescent="0.3"/>
  <cols>
    <col min="1" max="16384" width="8.88671875" style="1"/>
  </cols>
  <sheetData>
    <row r="2" spans="1:2" s="2" customFormat="1" x14ac:dyDescent="0.3">
      <c r="A2" s="3" t="s">
        <v>0</v>
      </c>
    </row>
    <row r="4" spans="1:2" x14ac:dyDescent="0.3">
      <c r="B4" s="54" t="s">
        <v>1</v>
      </c>
    </row>
    <row r="5" spans="1:2" x14ac:dyDescent="0.3">
      <c r="B5" s="1" t="s">
        <v>134</v>
      </c>
    </row>
    <row r="7" spans="1:2" s="2" customFormat="1" x14ac:dyDescent="0.3">
      <c r="A7" s="3" t="s">
        <v>2</v>
      </c>
    </row>
    <row r="9" spans="1:2" x14ac:dyDescent="0.3">
      <c r="B9" s="54" t="s">
        <v>3</v>
      </c>
    </row>
    <row r="10" spans="1:2" x14ac:dyDescent="0.3">
      <c r="B10" s="1" t="s">
        <v>4</v>
      </c>
    </row>
    <row r="11" spans="1:2" x14ac:dyDescent="0.3">
      <c r="B11" s="1" t="s">
        <v>5</v>
      </c>
    </row>
    <row r="18" spans="1:2" x14ac:dyDescent="0.3">
      <c r="B18" s="60" t="s">
        <v>6</v>
      </c>
    </row>
    <row r="28" spans="1:2" s="2" customFormat="1" x14ac:dyDescent="0.3">
      <c r="A28" s="3" t="s">
        <v>7</v>
      </c>
    </row>
    <row r="30" spans="1:2" x14ac:dyDescent="0.3">
      <c r="B30" s="54" t="s">
        <v>8</v>
      </c>
    </row>
    <row r="31" spans="1:2" x14ac:dyDescent="0.3">
      <c r="B31" s="1" t="s">
        <v>183</v>
      </c>
    </row>
    <row r="32" spans="1:2" x14ac:dyDescent="0.3">
      <c r="B32" s="6" t="s">
        <v>9</v>
      </c>
    </row>
    <row r="38" spans="1:2" s="2" customFormat="1" x14ac:dyDescent="0.3">
      <c r="A38" s="3" t="s">
        <v>10</v>
      </c>
    </row>
    <row r="40" spans="1:2" x14ac:dyDescent="0.3">
      <c r="B40" s="54" t="s">
        <v>11</v>
      </c>
    </row>
    <row r="41" spans="1:2" x14ac:dyDescent="0.3">
      <c r="B41" s="1" t="s">
        <v>162</v>
      </c>
    </row>
    <row r="42" spans="1:2" x14ac:dyDescent="0.3">
      <c r="B42" s="1" t="s">
        <v>163</v>
      </c>
    </row>
    <row r="43" spans="1:2" x14ac:dyDescent="0.3">
      <c r="B43" s="1" t="s">
        <v>12</v>
      </c>
    </row>
    <row r="44" spans="1:2" x14ac:dyDescent="0.3">
      <c r="B44" s="6"/>
    </row>
    <row r="49" spans="1:2" s="2" customFormat="1" x14ac:dyDescent="0.3">
      <c r="A49" s="3" t="s">
        <v>13</v>
      </c>
    </row>
    <row r="51" spans="1:2" x14ac:dyDescent="0.3">
      <c r="B51" s="54" t="s">
        <v>14</v>
      </c>
    </row>
    <row r="52" spans="1:2" x14ac:dyDescent="0.3">
      <c r="B52" s="1" t="s">
        <v>164</v>
      </c>
    </row>
    <row r="53" spans="1:2" x14ac:dyDescent="0.3">
      <c r="B53" s="6" t="s">
        <v>172</v>
      </c>
    </row>
    <row r="67" spans="2:2" x14ac:dyDescent="0.3">
      <c r="B67" s="1" t="s">
        <v>15</v>
      </c>
    </row>
    <row r="68" spans="2:2" x14ac:dyDescent="0.3">
      <c r="B68" s="6"/>
    </row>
    <row r="86" spans="1:2" s="2" customFormat="1" x14ac:dyDescent="0.3">
      <c r="A86" s="3" t="s">
        <v>16</v>
      </c>
    </row>
    <row r="88" spans="1:2" x14ac:dyDescent="0.3">
      <c r="B88" s="54" t="s">
        <v>17</v>
      </c>
    </row>
    <row r="89" spans="1:2" x14ac:dyDescent="0.3">
      <c r="B89" s="1" t="s">
        <v>165</v>
      </c>
    </row>
    <row r="90" spans="1:2" x14ac:dyDescent="0.3">
      <c r="B90" s="6" t="s">
        <v>172</v>
      </c>
    </row>
    <row r="91" spans="1:2" x14ac:dyDescent="0.3">
      <c r="B91" s="128" t="s">
        <v>184</v>
      </c>
    </row>
    <row r="104" spans="2:2" x14ac:dyDescent="0.3">
      <c r="B104" s="1" t="s">
        <v>15</v>
      </c>
    </row>
    <row r="122" spans="1:2" s="2" customFormat="1" x14ac:dyDescent="0.3">
      <c r="A122" s="3" t="s">
        <v>18</v>
      </c>
    </row>
    <row r="124" spans="1:2" x14ac:dyDescent="0.3">
      <c r="B124" s="54" t="s">
        <v>19</v>
      </c>
    </row>
    <row r="125" spans="1:2" x14ac:dyDescent="0.3">
      <c r="B125" s="1" t="s">
        <v>166</v>
      </c>
    </row>
    <row r="126" spans="1:2" x14ac:dyDescent="0.3">
      <c r="B126" s="6" t="s">
        <v>172</v>
      </c>
    </row>
    <row r="127" spans="1:2" x14ac:dyDescent="0.3">
      <c r="B127" s="128" t="s">
        <v>184</v>
      </c>
    </row>
    <row r="128" spans="1:2" x14ac:dyDescent="0.3">
      <c r="B128" s="6" t="s">
        <v>149</v>
      </c>
    </row>
    <row r="140" spans="2:2" x14ac:dyDescent="0.3">
      <c r="B140" s="1" t="s">
        <v>15</v>
      </c>
    </row>
    <row r="158" spans="1:2" s="2" customFormat="1" x14ac:dyDescent="0.3">
      <c r="A158" s="3" t="s">
        <v>20</v>
      </c>
    </row>
    <row r="160" spans="1:2" x14ac:dyDescent="0.3">
      <c r="B160" s="54" t="s">
        <v>21</v>
      </c>
    </row>
    <row r="161" spans="2:2" x14ac:dyDescent="0.3">
      <c r="B161" s="58" t="s">
        <v>22</v>
      </c>
    </row>
    <row r="179" spans="1:2" s="2" customFormat="1" x14ac:dyDescent="0.3">
      <c r="A179" s="3" t="s">
        <v>23</v>
      </c>
    </row>
    <row r="181" spans="1:2" x14ac:dyDescent="0.3">
      <c r="B181" s="54" t="s">
        <v>24</v>
      </c>
    </row>
    <row r="182" spans="1:2" x14ac:dyDescent="0.3">
      <c r="B182" s="59" t="s">
        <v>25</v>
      </c>
    </row>
    <row r="183" spans="1:2" x14ac:dyDescent="0.3">
      <c r="B183" s="1" t="s">
        <v>26</v>
      </c>
    </row>
  </sheetData>
  <sheetProtection algorithmName="SHA-512" hashValue="3deL5PXqUJSW4N4w4aCIenHtVF4ivgsJ4o0+MGYlfLZ2t79Iu4bzY8B6ZZpQBlQv5S3FpKzRNlhwHnnaFyvf4A==" saltValue="BzFKv6NrJv54b+74uBrYvw==" spinCount="100000" sheet="1" objects="1" scenarios="1"/>
  <hyperlinks>
    <hyperlink ref="B4" location="OVERVIEW!A1" display="1. Navigate to &quot;Overview&quot; tab" xr:uid="{3A46A839-81D2-4F34-893B-C9659A0582BF}"/>
    <hyperlink ref="B9" location="Assumptions!A1" display="1. Navigate to &quot;Assumptions&quot; tab" xr:uid="{B6394E15-AD4F-4983-A28A-099F047F0EFA}"/>
    <hyperlink ref="B30" location="Inputs!A1" display="1. Navigate to &quot;Inputs&quot; tab" xr:uid="{3C1CA4B1-5C5F-4359-B902-B4BCDB640C53}"/>
    <hyperlink ref="B40" location="Inputs!A1" display="1. Remain on &quot;Inputs&quot; tab" xr:uid="{931DC608-FB3B-42CE-B8C3-5F3C99CF8C98}"/>
    <hyperlink ref="B51" location="'Survey input_Retention'!A1" display="1. Navigate to &quot;Survey input_Retention&quot; tab" xr:uid="{A018F8F7-20E7-4ADF-A063-888E2017500D}"/>
    <hyperlink ref="B88" location="'Survey input_Productivity_A'!A1" display="1. Navigate to &quot;Survey input_Productivity_A&quot; tab" xr:uid="{66152B7B-F001-4FDF-8493-8EDC2D15D994}"/>
    <hyperlink ref="B124" location="'Survey input_Productivity_B'!A1" display="1. Navigate to &quot;Survey input_Productivity_B&quot; tab" xr:uid="{61A41B3F-6C9E-47EC-AD03-2B07E2EAECEC}"/>
    <hyperlink ref="B160" location="CALCULATIONS!A1" display="1. Navigate to &quot;Calculations&quot; tab" xr:uid="{530CBCBD-C580-419E-95D4-026E087CF7E7}"/>
    <hyperlink ref="B181" location="OUTPUTS!A1" display="1. Navigate to &quot;Outputs&quot; tab" xr:uid="{DDE83B53-D46D-4595-AF2D-46B8FF08E05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ABE3-442A-4DE0-BF25-577409BF1B41}">
  <dimension ref="A1:M87"/>
  <sheetViews>
    <sheetView zoomScale="85" zoomScaleNormal="85" workbookViewId="0"/>
  </sheetViews>
  <sheetFormatPr defaultColWidth="8.88671875" defaultRowHeight="14.4" x14ac:dyDescent="0.3"/>
  <cols>
    <col min="1" max="1" width="12.33203125" style="1" customWidth="1"/>
    <col min="2" max="6" width="80.77734375" style="1" customWidth="1"/>
    <col min="7" max="7" width="4.33203125" style="1" customWidth="1"/>
    <col min="8" max="8" width="19.5546875" style="1" bestFit="1" customWidth="1"/>
    <col min="9" max="9" width="23" style="1" bestFit="1" customWidth="1"/>
    <col min="10" max="10" width="29.33203125" style="1" bestFit="1" customWidth="1"/>
    <col min="11" max="11" width="4.88671875" style="1" customWidth="1"/>
    <col min="12" max="12" width="43.5546875" style="1" bestFit="1" customWidth="1"/>
    <col min="13" max="13" width="33.44140625" style="1" bestFit="1" customWidth="1"/>
    <col min="14" max="16384" width="8.88671875" style="1"/>
  </cols>
  <sheetData>
    <row r="1" spans="1:13" x14ac:dyDescent="0.3">
      <c r="A1" s="54" t="s">
        <v>62</v>
      </c>
    </row>
    <row r="2" spans="1:13" s="2" customFormat="1" x14ac:dyDescent="0.3">
      <c r="A2" s="3" t="s">
        <v>126</v>
      </c>
    </row>
    <row r="3" spans="1:13" x14ac:dyDescent="0.3">
      <c r="A3" s="29"/>
    </row>
    <row r="4" spans="1:13" x14ac:dyDescent="0.3">
      <c r="A4" s="7"/>
      <c r="B4" s="6" t="s">
        <v>110</v>
      </c>
      <c r="C4" s="6"/>
    </row>
    <row r="5" spans="1:13" x14ac:dyDescent="0.3">
      <c r="A5" s="7"/>
      <c r="B5" s="43" t="s">
        <v>154</v>
      </c>
      <c r="C5" s="43"/>
    </row>
    <row r="6" spans="1:13" x14ac:dyDescent="0.3">
      <c r="A6" s="7"/>
      <c r="B6" s="44" t="s">
        <v>111</v>
      </c>
      <c r="C6" s="44"/>
    </row>
    <row r="7" spans="1:13" x14ac:dyDescent="0.3">
      <c r="A7" s="7"/>
      <c r="B7" s="45" t="s">
        <v>112</v>
      </c>
      <c r="C7" s="45"/>
    </row>
    <row r="8" spans="1:13" x14ac:dyDescent="0.3">
      <c r="A8" s="7"/>
      <c r="B8" s="46" t="s">
        <v>182</v>
      </c>
      <c r="C8" s="46"/>
    </row>
    <row r="9" spans="1:13" x14ac:dyDescent="0.3">
      <c r="A9" s="7"/>
    </row>
    <row r="10" spans="1:13" x14ac:dyDescent="0.3">
      <c r="A10" s="7"/>
      <c r="B10" s="6" t="s">
        <v>172</v>
      </c>
    </row>
    <row r="11" spans="1:13" x14ac:dyDescent="0.3">
      <c r="A11" s="7"/>
      <c r="B11" s="128" t="s">
        <v>184</v>
      </c>
    </row>
    <row r="12" spans="1:13" x14ac:dyDescent="0.3">
      <c r="A12" s="7"/>
      <c r="B12" s="6" t="s">
        <v>149</v>
      </c>
    </row>
    <row r="13" spans="1:13" ht="15" thickBot="1" x14ac:dyDescent="0.35">
      <c r="A13" s="7"/>
    </row>
    <row r="14" spans="1:13" ht="21.6" customHeight="1" x14ac:dyDescent="0.45">
      <c r="A14" s="7"/>
      <c r="B14" s="122" t="s">
        <v>153</v>
      </c>
      <c r="C14" s="107" t="s">
        <v>161</v>
      </c>
      <c r="D14" s="107"/>
      <c r="E14" s="64"/>
      <c r="F14" s="65"/>
      <c r="H14" s="88" t="s">
        <v>113</v>
      </c>
      <c r="I14" s="113"/>
      <c r="J14" s="89"/>
      <c r="L14" s="96" t="s">
        <v>30</v>
      </c>
      <c r="M14" s="117"/>
    </row>
    <row r="15" spans="1:13" ht="42.6" customHeight="1" x14ac:dyDescent="0.3">
      <c r="B15" s="126" t="s">
        <v>156</v>
      </c>
      <c r="C15" s="124" t="s">
        <v>157</v>
      </c>
      <c r="D15" s="124" t="s">
        <v>158</v>
      </c>
      <c r="E15" s="127" t="s">
        <v>119</v>
      </c>
      <c r="F15" s="66" t="s">
        <v>120</v>
      </c>
      <c r="G15" s="74"/>
      <c r="H15" s="103" t="s">
        <v>115</v>
      </c>
      <c r="I15" s="75" t="s">
        <v>127</v>
      </c>
      <c r="J15" s="104" t="s">
        <v>122</v>
      </c>
      <c r="K15" s="4"/>
      <c r="L15" s="101" t="s">
        <v>123</v>
      </c>
      <c r="M15" s="102" t="s">
        <v>124</v>
      </c>
    </row>
    <row r="16" spans="1:13" ht="14.4" customHeight="1" x14ac:dyDescent="0.3">
      <c r="B16" s="108"/>
      <c r="C16" s="47" t="s">
        <v>83</v>
      </c>
      <c r="D16" s="62" t="str">
        <f>Assumptions!$B$19</f>
        <v>$0 - $30,000</v>
      </c>
      <c r="E16" s="49" t="s">
        <v>128</v>
      </c>
      <c r="F16" s="109" t="s">
        <v>97</v>
      </c>
      <c r="G16" s="5"/>
      <c r="H16" s="114">
        <f>_xlfn.XLOOKUP(D16,Assumptions!$B$19:$B$24,Assumptions!$C$19:$C$24)</f>
        <v>15000</v>
      </c>
      <c r="I16" s="52">
        <f>H16/Assumptions!$C$8</f>
        <v>7.2115384615384617</v>
      </c>
      <c r="J16" s="115">
        <f>_xlfn.XLOOKUP(F16,Assumptions!$B$28:$B$34,Assumptions!$C$28:$C$34)</f>
        <v>1.5</v>
      </c>
      <c r="L16" s="114">
        <f t="shared" ref="L16:L79" si="0">I16*J16</f>
        <v>10.817307692307693</v>
      </c>
      <c r="M16" s="118">
        <f t="shared" ref="M16:M27" si="1">L16*B16</f>
        <v>0</v>
      </c>
    </row>
    <row r="17" spans="2:13" x14ac:dyDescent="0.3">
      <c r="B17" s="106"/>
      <c r="C17" s="49" t="s">
        <v>83</v>
      </c>
      <c r="D17" s="61" t="str">
        <f>Assumptions!$B$19</f>
        <v>$0 - $30,000</v>
      </c>
      <c r="E17" s="49" t="s">
        <v>128</v>
      </c>
      <c r="F17" s="110" t="s">
        <v>98</v>
      </c>
      <c r="G17" s="5"/>
      <c r="H17" s="99">
        <f>_xlfn.XLOOKUP(D17,Assumptions!$B$19:$B$24,Assumptions!$C$19:$C$24)</f>
        <v>15000</v>
      </c>
      <c r="I17" s="52">
        <f>H17/Assumptions!$C$8</f>
        <v>7.2115384615384617</v>
      </c>
      <c r="J17" s="110">
        <f>_xlfn.XLOOKUP(F17,Assumptions!$B$28:$B$34,Assumptions!$C$28:$C$34)</f>
        <v>3.5</v>
      </c>
      <c r="L17" s="99">
        <f t="shared" si="0"/>
        <v>25.240384615384617</v>
      </c>
      <c r="M17" s="93">
        <f t="shared" si="1"/>
        <v>0</v>
      </c>
    </row>
    <row r="18" spans="2:13" x14ac:dyDescent="0.3">
      <c r="B18" s="106"/>
      <c r="C18" s="49" t="s">
        <v>83</v>
      </c>
      <c r="D18" s="61" t="str">
        <f>Assumptions!$B$19</f>
        <v>$0 - $30,000</v>
      </c>
      <c r="E18" s="49" t="s">
        <v>128</v>
      </c>
      <c r="F18" s="110" t="s">
        <v>99</v>
      </c>
      <c r="G18" s="5"/>
      <c r="H18" s="98">
        <f>_xlfn.XLOOKUP(D18,Assumptions!$B$19:$B$24,Assumptions!$C$19:$C$24)</f>
        <v>15000</v>
      </c>
      <c r="I18" s="52">
        <f>H18/Assumptions!$C$8</f>
        <v>7.2115384615384617</v>
      </c>
      <c r="J18" s="109">
        <f>_xlfn.XLOOKUP(F18,Assumptions!$B$28:$B$34,Assumptions!$C$28:$C$34)</f>
        <v>5.5</v>
      </c>
      <c r="L18" s="98">
        <f t="shared" si="0"/>
        <v>39.66346153846154</v>
      </c>
      <c r="M18" s="91">
        <f t="shared" si="1"/>
        <v>0</v>
      </c>
    </row>
    <row r="19" spans="2:13" x14ac:dyDescent="0.3">
      <c r="B19" s="105"/>
      <c r="C19" s="49" t="s">
        <v>83</v>
      </c>
      <c r="D19" s="61" t="str">
        <f>Assumptions!$B$19</f>
        <v>$0 - $30,000</v>
      </c>
      <c r="E19" s="49" t="s">
        <v>128</v>
      </c>
      <c r="F19" s="110" t="s">
        <v>100</v>
      </c>
      <c r="G19" s="5"/>
      <c r="H19" s="99">
        <f>_xlfn.XLOOKUP(D19,Assumptions!$B$19:$B$24,Assumptions!$C$19:$C$24)</f>
        <v>15000</v>
      </c>
      <c r="I19" s="52">
        <f>H19/Assumptions!$C$8</f>
        <v>7.2115384615384617</v>
      </c>
      <c r="J19" s="110">
        <f>_xlfn.XLOOKUP(F19,Assumptions!$B$28:$B$34,Assumptions!$C$28:$C$34)</f>
        <v>7.5</v>
      </c>
      <c r="L19" s="99">
        <f t="shared" si="0"/>
        <v>54.08653846153846</v>
      </c>
      <c r="M19" s="93">
        <f t="shared" si="1"/>
        <v>0</v>
      </c>
    </row>
    <row r="20" spans="2:13" x14ac:dyDescent="0.3">
      <c r="B20" s="106"/>
      <c r="C20" s="49" t="s">
        <v>83</v>
      </c>
      <c r="D20" s="61" t="str">
        <f>Assumptions!$B$19</f>
        <v>$0 - $30,000</v>
      </c>
      <c r="E20" s="49" t="s">
        <v>128</v>
      </c>
      <c r="F20" s="110" t="s">
        <v>101</v>
      </c>
      <c r="G20" s="5"/>
      <c r="H20" s="98">
        <f>_xlfn.XLOOKUP(D20,Assumptions!$B$19:$B$24,Assumptions!$C$19:$C$24)</f>
        <v>15000</v>
      </c>
      <c r="I20" s="52">
        <f>H20/Assumptions!$C$8</f>
        <v>7.2115384615384617</v>
      </c>
      <c r="J20" s="109">
        <f>_xlfn.XLOOKUP(F20,Assumptions!$B$28:$B$34,Assumptions!$C$28:$C$34)</f>
        <v>9.5</v>
      </c>
      <c r="L20" s="98">
        <f t="shared" si="0"/>
        <v>68.509615384615387</v>
      </c>
      <c r="M20" s="91">
        <f t="shared" si="1"/>
        <v>0</v>
      </c>
    </row>
    <row r="21" spans="2:13" x14ac:dyDescent="0.3">
      <c r="B21" s="106"/>
      <c r="C21" s="49" t="s">
        <v>83</v>
      </c>
      <c r="D21" s="61" t="str">
        <f>Assumptions!$B$19</f>
        <v>$0 - $30,000</v>
      </c>
      <c r="E21" s="49" t="s">
        <v>128</v>
      </c>
      <c r="F21" s="110" t="s">
        <v>102</v>
      </c>
      <c r="G21" s="5"/>
      <c r="H21" s="99">
        <f>_xlfn.XLOOKUP(D21,Assumptions!$B$19:$B$24,Assumptions!$C$19:$C$24)</f>
        <v>15000</v>
      </c>
      <c r="I21" s="52">
        <f>H21/Assumptions!$C$8</f>
        <v>7.2115384615384617</v>
      </c>
      <c r="J21" s="110">
        <f>_xlfn.XLOOKUP(F21,Assumptions!$B$28:$B$34,Assumptions!$C$28:$C$34)</f>
        <v>10</v>
      </c>
      <c r="L21" s="99">
        <f t="shared" si="0"/>
        <v>72.115384615384613</v>
      </c>
      <c r="M21" s="93">
        <f t="shared" si="1"/>
        <v>0</v>
      </c>
    </row>
    <row r="22" spans="2:13" x14ac:dyDescent="0.3">
      <c r="B22" s="105"/>
      <c r="C22" s="49" t="s">
        <v>83</v>
      </c>
      <c r="D22" s="61" t="str">
        <f>Assumptions!$B$20</f>
        <v>$30,001 - $60,000</v>
      </c>
      <c r="E22" s="49" t="s">
        <v>128</v>
      </c>
      <c r="F22" s="110" t="s">
        <v>97</v>
      </c>
      <c r="G22" s="5"/>
      <c r="H22" s="98">
        <f>_xlfn.XLOOKUP(D22,Assumptions!$B$19:$B$24,Assumptions!$C$19:$C$24)</f>
        <v>45000</v>
      </c>
      <c r="I22" s="52">
        <f>H22/Assumptions!$C$8</f>
        <v>21.634615384615383</v>
      </c>
      <c r="J22" s="109">
        <f>_xlfn.XLOOKUP(F22,Assumptions!$B$28:$B$34,Assumptions!$C$28:$C$34)</f>
        <v>1.5</v>
      </c>
      <c r="L22" s="98">
        <f t="shared" si="0"/>
        <v>32.451923076923073</v>
      </c>
      <c r="M22" s="91">
        <f t="shared" si="1"/>
        <v>0</v>
      </c>
    </row>
    <row r="23" spans="2:13" x14ac:dyDescent="0.3">
      <c r="B23" s="106"/>
      <c r="C23" s="49" t="s">
        <v>83</v>
      </c>
      <c r="D23" s="61" t="str">
        <f>Assumptions!$B$20</f>
        <v>$30,001 - $60,000</v>
      </c>
      <c r="E23" s="49" t="s">
        <v>128</v>
      </c>
      <c r="F23" s="110" t="s">
        <v>98</v>
      </c>
      <c r="G23" s="5"/>
      <c r="H23" s="99">
        <f>_xlfn.XLOOKUP(D23,Assumptions!$B$19:$B$24,Assumptions!$C$19:$C$24)</f>
        <v>45000</v>
      </c>
      <c r="I23" s="52">
        <f>H23/Assumptions!$C$8</f>
        <v>21.634615384615383</v>
      </c>
      <c r="J23" s="110">
        <f>_xlfn.XLOOKUP(F23,Assumptions!$B$28:$B$34,Assumptions!$C$28:$C$34)</f>
        <v>3.5</v>
      </c>
      <c r="L23" s="99">
        <f t="shared" si="0"/>
        <v>75.72115384615384</v>
      </c>
      <c r="M23" s="93">
        <f t="shared" si="1"/>
        <v>0</v>
      </c>
    </row>
    <row r="24" spans="2:13" x14ac:dyDescent="0.3">
      <c r="B24" s="106"/>
      <c r="C24" s="49" t="s">
        <v>83</v>
      </c>
      <c r="D24" s="61" t="str">
        <f>Assumptions!$B$20</f>
        <v>$30,001 - $60,000</v>
      </c>
      <c r="E24" s="49" t="s">
        <v>128</v>
      </c>
      <c r="F24" s="110" t="s">
        <v>99</v>
      </c>
      <c r="G24" s="5"/>
      <c r="H24" s="98">
        <f>_xlfn.XLOOKUP(D24,Assumptions!$B$19:$B$24,Assumptions!$C$19:$C$24)</f>
        <v>45000</v>
      </c>
      <c r="I24" s="52">
        <f>H24/Assumptions!$C$8</f>
        <v>21.634615384615383</v>
      </c>
      <c r="J24" s="109">
        <f>_xlfn.XLOOKUP(F24,Assumptions!$B$28:$B$34,Assumptions!$C$28:$C$34)</f>
        <v>5.5</v>
      </c>
      <c r="L24" s="98">
        <f t="shared" si="0"/>
        <v>118.99038461538461</v>
      </c>
      <c r="M24" s="91">
        <f t="shared" si="1"/>
        <v>0</v>
      </c>
    </row>
    <row r="25" spans="2:13" x14ac:dyDescent="0.3">
      <c r="B25" s="105"/>
      <c r="C25" s="49" t="s">
        <v>83</v>
      </c>
      <c r="D25" s="61" t="str">
        <f>Assumptions!$B$20</f>
        <v>$30,001 - $60,000</v>
      </c>
      <c r="E25" s="49" t="s">
        <v>128</v>
      </c>
      <c r="F25" s="110" t="s">
        <v>100</v>
      </c>
      <c r="G25" s="5"/>
      <c r="H25" s="99">
        <f>_xlfn.XLOOKUP(D25,Assumptions!$B$19:$B$24,Assumptions!$C$19:$C$24)</f>
        <v>45000</v>
      </c>
      <c r="I25" s="52">
        <f>H25/Assumptions!$C$8</f>
        <v>21.634615384615383</v>
      </c>
      <c r="J25" s="110">
        <f>_xlfn.XLOOKUP(F25,Assumptions!$B$28:$B$34,Assumptions!$C$28:$C$34)</f>
        <v>7.5</v>
      </c>
      <c r="L25" s="99">
        <f t="shared" si="0"/>
        <v>162.25961538461539</v>
      </c>
      <c r="M25" s="93">
        <f t="shared" si="1"/>
        <v>0</v>
      </c>
    </row>
    <row r="26" spans="2:13" x14ac:dyDescent="0.3">
      <c r="B26" s="106"/>
      <c r="C26" s="49" t="s">
        <v>83</v>
      </c>
      <c r="D26" s="61" t="str">
        <f>Assumptions!$B$20</f>
        <v>$30,001 - $60,000</v>
      </c>
      <c r="E26" s="49" t="s">
        <v>128</v>
      </c>
      <c r="F26" s="110" t="s">
        <v>101</v>
      </c>
      <c r="G26" s="5"/>
      <c r="H26" s="98">
        <f>_xlfn.XLOOKUP(D26,Assumptions!$B$19:$B$24,Assumptions!$C$19:$C$24)</f>
        <v>45000</v>
      </c>
      <c r="I26" s="52">
        <f>H26/Assumptions!$C$8</f>
        <v>21.634615384615383</v>
      </c>
      <c r="J26" s="109">
        <f>_xlfn.XLOOKUP(F26,Assumptions!$B$28:$B$34,Assumptions!$C$28:$C$34)</f>
        <v>9.5</v>
      </c>
      <c r="L26" s="98">
        <f t="shared" si="0"/>
        <v>205.52884615384613</v>
      </c>
      <c r="M26" s="91">
        <f t="shared" si="1"/>
        <v>0</v>
      </c>
    </row>
    <row r="27" spans="2:13" x14ac:dyDescent="0.3">
      <c r="B27" s="106"/>
      <c r="C27" s="49" t="s">
        <v>83</v>
      </c>
      <c r="D27" s="61" t="str">
        <f>Assumptions!$B$20</f>
        <v>$30,001 - $60,000</v>
      </c>
      <c r="E27" s="49" t="s">
        <v>128</v>
      </c>
      <c r="F27" s="110" t="s">
        <v>102</v>
      </c>
      <c r="G27" s="5"/>
      <c r="H27" s="99">
        <f>_xlfn.XLOOKUP(D27,Assumptions!$B$19:$B$24,Assumptions!$C$19:$C$24)</f>
        <v>45000</v>
      </c>
      <c r="I27" s="52">
        <f>H27/Assumptions!$C$8</f>
        <v>21.634615384615383</v>
      </c>
      <c r="J27" s="110">
        <f>_xlfn.XLOOKUP(F27,Assumptions!$B$28:$B$34,Assumptions!$C$28:$C$34)</f>
        <v>10</v>
      </c>
      <c r="L27" s="99">
        <f t="shared" si="0"/>
        <v>216.34615384615384</v>
      </c>
      <c r="M27" s="93">
        <f t="shared" si="1"/>
        <v>0</v>
      </c>
    </row>
    <row r="28" spans="2:13" x14ac:dyDescent="0.3">
      <c r="B28" s="105"/>
      <c r="C28" s="49" t="s">
        <v>83</v>
      </c>
      <c r="D28" s="61" t="str">
        <f>Assumptions!$B$21</f>
        <v>$60,001 - $90,000</v>
      </c>
      <c r="E28" s="49" t="s">
        <v>128</v>
      </c>
      <c r="F28" s="110" t="s">
        <v>97</v>
      </c>
      <c r="G28" s="5"/>
      <c r="H28" s="98">
        <f>_xlfn.XLOOKUP(D28,Assumptions!$B$19:$B$24,Assumptions!$C$19:$C$24)</f>
        <v>75000</v>
      </c>
      <c r="I28" s="52">
        <f>H28/Assumptions!$C$8</f>
        <v>36.057692307692307</v>
      </c>
      <c r="J28" s="109">
        <f>_xlfn.XLOOKUP(F28,Assumptions!$B$28:$B$34,Assumptions!$C$28:$C$34)</f>
        <v>1.5</v>
      </c>
      <c r="L28" s="98">
        <f t="shared" si="0"/>
        <v>54.08653846153846</v>
      </c>
      <c r="M28" s="91">
        <f t="shared" ref="M28:M51" si="2">L28*B28</f>
        <v>0</v>
      </c>
    </row>
    <row r="29" spans="2:13" x14ac:dyDescent="0.3">
      <c r="B29" s="105"/>
      <c r="C29" s="49" t="s">
        <v>83</v>
      </c>
      <c r="D29" s="61" t="str">
        <f>Assumptions!$B$21</f>
        <v>$60,001 - $90,000</v>
      </c>
      <c r="E29" s="49" t="s">
        <v>128</v>
      </c>
      <c r="F29" s="110" t="s">
        <v>98</v>
      </c>
      <c r="G29" s="5"/>
      <c r="H29" s="99">
        <f>_xlfn.XLOOKUP(D29,Assumptions!$B$19:$B$24,Assumptions!$C$19:$C$24)</f>
        <v>75000</v>
      </c>
      <c r="I29" s="52">
        <f>H29/Assumptions!$C$8</f>
        <v>36.057692307692307</v>
      </c>
      <c r="J29" s="110">
        <f>_xlfn.XLOOKUP(F29,Assumptions!$B$28:$B$34,Assumptions!$C$28:$C$34)</f>
        <v>3.5</v>
      </c>
      <c r="L29" s="99">
        <f t="shared" si="0"/>
        <v>126.20192307692307</v>
      </c>
      <c r="M29" s="93">
        <f t="shared" si="2"/>
        <v>0</v>
      </c>
    </row>
    <row r="30" spans="2:13" x14ac:dyDescent="0.3">
      <c r="B30" s="105"/>
      <c r="C30" s="49" t="s">
        <v>83</v>
      </c>
      <c r="D30" s="61" t="str">
        <f>Assumptions!$B$21</f>
        <v>$60,001 - $90,000</v>
      </c>
      <c r="E30" s="49" t="s">
        <v>128</v>
      </c>
      <c r="F30" s="110" t="s">
        <v>99</v>
      </c>
      <c r="G30" s="5"/>
      <c r="H30" s="98">
        <f>_xlfn.XLOOKUP(D30,Assumptions!$B$19:$B$24,Assumptions!$C$19:$C$24)</f>
        <v>75000</v>
      </c>
      <c r="I30" s="52">
        <f>H30/Assumptions!$C$8</f>
        <v>36.057692307692307</v>
      </c>
      <c r="J30" s="109">
        <f>_xlfn.XLOOKUP(F30,Assumptions!$B$28:$B$34,Assumptions!$C$28:$C$34)</f>
        <v>5.5</v>
      </c>
      <c r="L30" s="98">
        <f t="shared" si="0"/>
        <v>198.31730769230768</v>
      </c>
      <c r="M30" s="91">
        <f t="shared" si="2"/>
        <v>0</v>
      </c>
    </row>
    <row r="31" spans="2:13" x14ac:dyDescent="0.3">
      <c r="B31" s="105"/>
      <c r="C31" s="49" t="s">
        <v>83</v>
      </c>
      <c r="D31" s="61" t="str">
        <f>Assumptions!$B$21</f>
        <v>$60,001 - $90,000</v>
      </c>
      <c r="E31" s="49" t="s">
        <v>128</v>
      </c>
      <c r="F31" s="110" t="s">
        <v>100</v>
      </c>
      <c r="G31" s="5"/>
      <c r="H31" s="99">
        <f>_xlfn.XLOOKUP(D31,Assumptions!$B$19:$B$24,Assumptions!$C$19:$C$24)</f>
        <v>75000</v>
      </c>
      <c r="I31" s="52">
        <f>H31/Assumptions!$C$8</f>
        <v>36.057692307692307</v>
      </c>
      <c r="J31" s="110">
        <f>_xlfn.XLOOKUP(F31,Assumptions!$B$28:$B$34,Assumptions!$C$28:$C$34)</f>
        <v>7.5</v>
      </c>
      <c r="L31" s="99">
        <f t="shared" si="0"/>
        <v>270.43269230769232</v>
      </c>
      <c r="M31" s="93">
        <f t="shared" si="2"/>
        <v>0</v>
      </c>
    </row>
    <row r="32" spans="2:13" x14ac:dyDescent="0.3">
      <c r="B32" s="105"/>
      <c r="C32" s="49" t="s">
        <v>83</v>
      </c>
      <c r="D32" s="61" t="str">
        <f>Assumptions!$B$21</f>
        <v>$60,001 - $90,000</v>
      </c>
      <c r="E32" s="49" t="s">
        <v>128</v>
      </c>
      <c r="F32" s="110" t="s">
        <v>101</v>
      </c>
      <c r="G32" s="5"/>
      <c r="H32" s="98">
        <f>_xlfn.XLOOKUP(D32,Assumptions!$B$19:$B$24,Assumptions!$C$19:$C$24)</f>
        <v>75000</v>
      </c>
      <c r="I32" s="52">
        <f>H32/Assumptions!$C$8</f>
        <v>36.057692307692307</v>
      </c>
      <c r="J32" s="109">
        <f>_xlfn.XLOOKUP(F32,Assumptions!$B$28:$B$34,Assumptions!$C$28:$C$34)</f>
        <v>9.5</v>
      </c>
      <c r="L32" s="98">
        <f t="shared" si="0"/>
        <v>342.54807692307691</v>
      </c>
      <c r="M32" s="91">
        <f t="shared" si="2"/>
        <v>0</v>
      </c>
    </row>
    <row r="33" spans="2:13" x14ac:dyDescent="0.3">
      <c r="B33" s="105"/>
      <c r="C33" s="49" t="s">
        <v>83</v>
      </c>
      <c r="D33" s="61" t="str">
        <f>Assumptions!$B$21</f>
        <v>$60,001 - $90,000</v>
      </c>
      <c r="E33" s="49" t="s">
        <v>128</v>
      </c>
      <c r="F33" s="110" t="s">
        <v>102</v>
      </c>
      <c r="G33" s="5"/>
      <c r="H33" s="99">
        <f>_xlfn.XLOOKUP(D33,Assumptions!$B$19:$B$24,Assumptions!$C$19:$C$24)</f>
        <v>75000</v>
      </c>
      <c r="I33" s="52">
        <f>H33/Assumptions!$C$8</f>
        <v>36.057692307692307</v>
      </c>
      <c r="J33" s="110">
        <f>_xlfn.XLOOKUP(F33,Assumptions!$B$28:$B$34,Assumptions!$C$28:$C$34)</f>
        <v>10</v>
      </c>
      <c r="L33" s="99">
        <f t="shared" si="0"/>
        <v>360.57692307692309</v>
      </c>
      <c r="M33" s="93">
        <f t="shared" si="2"/>
        <v>0</v>
      </c>
    </row>
    <row r="34" spans="2:13" x14ac:dyDescent="0.3">
      <c r="B34" s="105"/>
      <c r="C34" s="49" t="s">
        <v>83</v>
      </c>
      <c r="D34" s="61" t="str">
        <f>Assumptions!$B$22</f>
        <v>$90,001 - $120,000</v>
      </c>
      <c r="E34" s="49" t="s">
        <v>128</v>
      </c>
      <c r="F34" s="110" t="s">
        <v>97</v>
      </c>
      <c r="G34" s="5"/>
      <c r="H34" s="98">
        <f>_xlfn.XLOOKUP(D34,Assumptions!$B$19:$B$24,Assumptions!$C$19:$C$24)</f>
        <v>105000</v>
      </c>
      <c r="I34" s="52">
        <f>H34/Assumptions!$C$8</f>
        <v>50.480769230769234</v>
      </c>
      <c r="J34" s="109">
        <f>_xlfn.XLOOKUP(F34,Assumptions!$B$28:$B$34,Assumptions!$C$28:$C$34)</f>
        <v>1.5</v>
      </c>
      <c r="L34" s="98">
        <f t="shared" si="0"/>
        <v>75.721153846153854</v>
      </c>
      <c r="M34" s="91">
        <f t="shared" si="2"/>
        <v>0</v>
      </c>
    </row>
    <row r="35" spans="2:13" x14ac:dyDescent="0.3">
      <c r="B35" s="105"/>
      <c r="C35" s="49" t="s">
        <v>83</v>
      </c>
      <c r="D35" s="61" t="str">
        <f>Assumptions!$B$22</f>
        <v>$90,001 - $120,000</v>
      </c>
      <c r="E35" s="49" t="s">
        <v>128</v>
      </c>
      <c r="F35" s="110" t="s">
        <v>98</v>
      </c>
      <c r="G35" s="5"/>
      <c r="H35" s="99">
        <f>_xlfn.XLOOKUP(D35,Assumptions!$B$19:$B$24,Assumptions!$C$19:$C$24)</f>
        <v>105000</v>
      </c>
      <c r="I35" s="52">
        <f>H35/Assumptions!$C$8</f>
        <v>50.480769230769234</v>
      </c>
      <c r="J35" s="110">
        <f>_xlfn.XLOOKUP(F35,Assumptions!$B$28:$B$34,Assumptions!$C$28:$C$34)</f>
        <v>3.5</v>
      </c>
      <c r="L35" s="99">
        <f t="shared" si="0"/>
        <v>176.68269230769232</v>
      </c>
      <c r="M35" s="93">
        <f t="shared" si="2"/>
        <v>0</v>
      </c>
    </row>
    <row r="36" spans="2:13" x14ac:dyDescent="0.3">
      <c r="B36" s="105"/>
      <c r="C36" s="49" t="s">
        <v>83</v>
      </c>
      <c r="D36" s="61" t="str">
        <f>Assumptions!$B$22</f>
        <v>$90,001 - $120,000</v>
      </c>
      <c r="E36" s="49" t="s">
        <v>128</v>
      </c>
      <c r="F36" s="110" t="s">
        <v>99</v>
      </c>
      <c r="G36" s="5"/>
      <c r="H36" s="98">
        <f>_xlfn.XLOOKUP(D36,Assumptions!$B$19:$B$24,Assumptions!$C$19:$C$24)</f>
        <v>105000</v>
      </c>
      <c r="I36" s="52">
        <f>H36/Assumptions!$C$8</f>
        <v>50.480769230769234</v>
      </c>
      <c r="J36" s="109">
        <f>_xlfn.XLOOKUP(F36,Assumptions!$B$28:$B$34,Assumptions!$C$28:$C$34)</f>
        <v>5.5</v>
      </c>
      <c r="L36" s="98">
        <f t="shared" si="0"/>
        <v>277.64423076923077</v>
      </c>
      <c r="M36" s="91">
        <f t="shared" si="2"/>
        <v>0</v>
      </c>
    </row>
    <row r="37" spans="2:13" x14ac:dyDescent="0.3">
      <c r="B37" s="105"/>
      <c r="C37" s="49" t="s">
        <v>83</v>
      </c>
      <c r="D37" s="61" t="str">
        <f>Assumptions!$B$22</f>
        <v>$90,001 - $120,000</v>
      </c>
      <c r="E37" s="49" t="s">
        <v>128</v>
      </c>
      <c r="F37" s="110" t="s">
        <v>100</v>
      </c>
      <c r="G37" s="5"/>
      <c r="H37" s="99">
        <f>_xlfn.XLOOKUP(D37,Assumptions!$B$19:$B$24,Assumptions!$C$19:$C$24)</f>
        <v>105000</v>
      </c>
      <c r="I37" s="52">
        <f>H37/Assumptions!$C$8</f>
        <v>50.480769230769234</v>
      </c>
      <c r="J37" s="110">
        <f>_xlfn.XLOOKUP(F37,Assumptions!$B$28:$B$34,Assumptions!$C$28:$C$34)</f>
        <v>7.5</v>
      </c>
      <c r="L37" s="99">
        <f t="shared" si="0"/>
        <v>378.60576923076923</v>
      </c>
      <c r="M37" s="93">
        <f t="shared" si="2"/>
        <v>0</v>
      </c>
    </row>
    <row r="38" spans="2:13" x14ac:dyDescent="0.3">
      <c r="B38" s="105"/>
      <c r="C38" s="49" t="s">
        <v>83</v>
      </c>
      <c r="D38" s="61" t="str">
        <f>Assumptions!$B$22</f>
        <v>$90,001 - $120,000</v>
      </c>
      <c r="E38" s="49" t="s">
        <v>128</v>
      </c>
      <c r="F38" s="110" t="s">
        <v>101</v>
      </c>
      <c r="G38" s="5"/>
      <c r="H38" s="98">
        <f>_xlfn.XLOOKUP(D38,Assumptions!$B$19:$B$24,Assumptions!$C$19:$C$24)</f>
        <v>105000</v>
      </c>
      <c r="I38" s="52">
        <f>H38/Assumptions!$C$8</f>
        <v>50.480769230769234</v>
      </c>
      <c r="J38" s="109">
        <f>_xlfn.XLOOKUP(F38,Assumptions!$B$28:$B$34,Assumptions!$C$28:$C$34)</f>
        <v>9.5</v>
      </c>
      <c r="L38" s="98">
        <f t="shared" si="0"/>
        <v>479.56730769230774</v>
      </c>
      <c r="M38" s="91">
        <f t="shared" si="2"/>
        <v>0</v>
      </c>
    </row>
    <row r="39" spans="2:13" x14ac:dyDescent="0.3">
      <c r="B39" s="105"/>
      <c r="C39" s="49" t="s">
        <v>83</v>
      </c>
      <c r="D39" s="61" t="str">
        <f>Assumptions!$B$22</f>
        <v>$90,001 - $120,000</v>
      </c>
      <c r="E39" s="49" t="s">
        <v>128</v>
      </c>
      <c r="F39" s="110" t="s">
        <v>102</v>
      </c>
      <c r="G39" s="5"/>
      <c r="H39" s="99">
        <f>_xlfn.XLOOKUP(D39,Assumptions!$B$19:$B$24,Assumptions!$C$19:$C$24)</f>
        <v>105000</v>
      </c>
      <c r="I39" s="52">
        <f>H39/Assumptions!$C$8</f>
        <v>50.480769230769234</v>
      </c>
      <c r="J39" s="110">
        <f>_xlfn.XLOOKUP(F39,Assumptions!$B$28:$B$34,Assumptions!$C$28:$C$34)</f>
        <v>10</v>
      </c>
      <c r="L39" s="99">
        <f t="shared" si="0"/>
        <v>504.80769230769232</v>
      </c>
      <c r="M39" s="93">
        <f t="shared" si="2"/>
        <v>0</v>
      </c>
    </row>
    <row r="40" spans="2:13" x14ac:dyDescent="0.3">
      <c r="B40" s="105"/>
      <c r="C40" s="49" t="s">
        <v>83</v>
      </c>
      <c r="D40" s="61" t="str">
        <f>Assumptions!$B$23</f>
        <v>$120,001 - $150,000</v>
      </c>
      <c r="E40" s="49" t="s">
        <v>128</v>
      </c>
      <c r="F40" s="110" t="s">
        <v>97</v>
      </c>
      <c r="G40" s="5"/>
      <c r="H40" s="98">
        <f>_xlfn.XLOOKUP(D40,Assumptions!$B$19:$B$24,Assumptions!$C$19:$C$24)</f>
        <v>135000</v>
      </c>
      <c r="I40" s="52">
        <f>H40/Assumptions!$C$8</f>
        <v>64.90384615384616</v>
      </c>
      <c r="J40" s="109">
        <f>_xlfn.XLOOKUP(F40,Assumptions!$B$28:$B$34,Assumptions!$C$28:$C$34)</f>
        <v>1.5</v>
      </c>
      <c r="L40" s="98">
        <f t="shared" si="0"/>
        <v>97.355769230769241</v>
      </c>
      <c r="M40" s="91">
        <f t="shared" si="2"/>
        <v>0</v>
      </c>
    </row>
    <row r="41" spans="2:13" x14ac:dyDescent="0.3">
      <c r="B41" s="105"/>
      <c r="C41" s="49" t="s">
        <v>83</v>
      </c>
      <c r="D41" s="61" t="str">
        <f>Assumptions!$B$23</f>
        <v>$120,001 - $150,000</v>
      </c>
      <c r="E41" s="49" t="s">
        <v>128</v>
      </c>
      <c r="F41" s="110" t="s">
        <v>98</v>
      </c>
      <c r="G41" s="5"/>
      <c r="H41" s="99">
        <f>_xlfn.XLOOKUP(D41,Assumptions!$B$19:$B$24,Assumptions!$C$19:$C$24)</f>
        <v>135000</v>
      </c>
      <c r="I41" s="52">
        <f>H41/Assumptions!$C$8</f>
        <v>64.90384615384616</v>
      </c>
      <c r="J41" s="110">
        <f>_xlfn.XLOOKUP(F41,Assumptions!$B$28:$B$34,Assumptions!$C$28:$C$34)</f>
        <v>3.5</v>
      </c>
      <c r="L41" s="99">
        <f t="shared" si="0"/>
        <v>227.16346153846155</v>
      </c>
      <c r="M41" s="93">
        <f t="shared" si="2"/>
        <v>0</v>
      </c>
    </row>
    <row r="42" spans="2:13" x14ac:dyDescent="0.3">
      <c r="B42" s="105"/>
      <c r="C42" s="49" t="s">
        <v>83</v>
      </c>
      <c r="D42" s="61" t="str">
        <f>Assumptions!$B$23</f>
        <v>$120,001 - $150,000</v>
      </c>
      <c r="E42" s="49" t="s">
        <v>128</v>
      </c>
      <c r="F42" s="110" t="s">
        <v>99</v>
      </c>
      <c r="G42" s="5"/>
      <c r="H42" s="98">
        <f>_xlfn.XLOOKUP(D42,Assumptions!$B$19:$B$24,Assumptions!$C$19:$C$24)</f>
        <v>135000</v>
      </c>
      <c r="I42" s="52">
        <f>H42/Assumptions!$C$8</f>
        <v>64.90384615384616</v>
      </c>
      <c r="J42" s="109">
        <f>_xlfn.XLOOKUP(F42,Assumptions!$B$28:$B$34,Assumptions!$C$28:$C$34)</f>
        <v>5.5</v>
      </c>
      <c r="L42" s="98">
        <f t="shared" si="0"/>
        <v>356.97115384615387</v>
      </c>
      <c r="M42" s="91">
        <f t="shared" si="2"/>
        <v>0</v>
      </c>
    </row>
    <row r="43" spans="2:13" x14ac:dyDescent="0.3">
      <c r="B43" s="105"/>
      <c r="C43" s="49" t="s">
        <v>83</v>
      </c>
      <c r="D43" s="61" t="str">
        <f>Assumptions!$B$23</f>
        <v>$120,001 - $150,000</v>
      </c>
      <c r="E43" s="49" t="s">
        <v>128</v>
      </c>
      <c r="F43" s="110" t="s">
        <v>100</v>
      </c>
      <c r="G43" s="5"/>
      <c r="H43" s="99">
        <f>_xlfn.XLOOKUP(D43,Assumptions!$B$19:$B$24,Assumptions!$C$19:$C$24)</f>
        <v>135000</v>
      </c>
      <c r="I43" s="52">
        <f>H43/Assumptions!$C$8</f>
        <v>64.90384615384616</v>
      </c>
      <c r="J43" s="110">
        <f>_xlfn.XLOOKUP(F43,Assumptions!$B$28:$B$34,Assumptions!$C$28:$C$34)</f>
        <v>7.5</v>
      </c>
      <c r="L43" s="99">
        <f t="shared" si="0"/>
        <v>486.77884615384619</v>
      </c>
      <c r="M43" s="93">
        <f t="shared" si="2"/>
        <v>0</v>
      </c>
    </row>
    <row r="44" spans="2:13" x14ac:dyDescent="0.3">
      <c r="B44" s="105"/>
      <c r="C44" s="49" t="s">
        <v>83</v>
      </c>
      <c r="D44" s="61" t="str">
        <f>Assumptions!$B$23</f>
        <v>$120,001 - $150,000</v>
      </c>
      <c r="E44" s="49" t="s">
        <v>128</v>
      </c>
      <c r="F44" s="110" t="s">
        <v>101</v>
      </c>
      <c r="G44" s="5"/>
      <c r="H44" s="98">
        <f>_xlfn.XLOOKUP(D44,Assumptions!$B$19:$B$24,Assumptions!$C$19:$C$24)</f>
        <v>135000</v>
      </c>
      <c r="I44" s="52">
        <f>H44/Assumptions!$C$8</f>
        <v>64.90384615384616</v>
      </c>
      <c r="J44" s="109">
        <f>_xlfn.XLOOKUP(F44,Assumptions!$B$28:$B$34,Assumptions!$C$28:$C$34)</f>
        <v>9.5</v>
      </c>
      <c r="L44" s="98">
        <f t="shared" si="0"/>
        <v>616.58653846153857</v>
      </c>
      <c r="M44" s="91">
        <f t="shared" si="2"/>
        <v>0</v>
      </c>
    </row>
    <row r="45" spans="2:13" x14ac:dyDescent="0.3">
      <c r="B45" s="105"/>
      <c r="C45" s="49" t="s">
        <v>83</v>
      </c>
      <c r="D45" s="61" t="str">
        <f>Assumptions!$B$23</f>
        <v>$120,001 - $150,000</v>
      </c>
      <c r="E45" s="49" t="s">
        <v>128</v>
      </c>
      <c r="F45" s="110" t="s">
        <v>102</v>
      </c>
      <c r="G45" s="5"/>
      <c r="H45" s="99">
        <f>_xlfn.XLOOKUP(D45,Assumptions!$B$19:$B$24,Assumptions!$C$19:$C$24)</f>
        <v>135000</v>
      </c>
      <c r="I45" s="52">
        <f>H45/Assumptions!$C$8</f>
        <v>64.90384615384616</v>
      </c>
      <c r="J45" s="110">
        <f>_xlfn.XLOOKUP(F45,Assumptions!$B$28:$B$34,Assumptions!$C$28:$C$34)</f>
        <v>10</v>
      </c>
      <c r="L45" s="99">
        <f t="shared" si="0"/>
        <v>649.03846153846166</v>
      </c>
      <c r="M45" s="93">
        <f t="shared" si="2"/>
        <v>0</v>
      </c>
    </row>
    <row r="46" spans="2:13" x14ac:dyDescent="0.3">
      <c r="B46" s="105"/>
      <c r="C46" s="49" t="s">
        <v>83</v>
      </c>
      <c r="D46" s="61" t="str">
        <f>Assumptions!$B$24</f>
        <v>$150,000+</v>
      </c>
      <c r="E46" s="49" t="s">
        <v>128</v>
      </c>
      <c r="F46" s="110" t="s">
        <v>97</v>
      </c>
      <c r="G46" s="5"/>
      <c r="H46" s="98">
        <f>_xlfn.XLOOKUP(D46,Assumptions!$B$19:$B$24,Assumptions!$C$19:$C$24)</f>
        <v>150000</v>
      </c>
      <c r="I46" s="52">
        <f>H46/Assumptions!$C$8</f>
        <v>72.115384615384613</v>
      </c>
      <c r="J46" s="109">
        <f>_xlfn.XLOOKUP(F46,Assumptions!$B$28:$B$34,Assumptions!$C$28:$C$34)</f>
        <v>1.5</v>
      </c>
      <c r="L46" s="98">
        <f t="shared" si="0"/>
        <v>108.17307692307692</v>
      </c>
      <c r="M46" s="91">
        <f t="shared" si="2"/>
        <v>0</v>
      </c>
    </row>
    <row r="47" spans="2:13" x14ac:dyDescent="0.3">
      <c r="B47" s="105"/>
      <c r="C47" s="49" t="s">
        <v>83</v>
      </c>
      <c r="D47" s="61" t="str">
        <f>Assumptions!$B$24</f>
        <v>$150,000+</v>
      </c>
      <c r="E47" s="49" t="s">
        <v>128</v>
      </c>
      <c r="F47" s="110" t="s">
        <v>98</v>
      </c>
      <c r="G47" s="5"/>
      <c r="H47" s="99">
        <f>_xlfn.XLOOKUP(D47,Assumptions!$B$19:$B$24,Assumptions!$C$19:$C$24)</f>
        <v>150000</v>
      </c>
      <c r="I47" s="52">
        <f>H47/Assumptions!$C$8</f>
        <v>72.115384615384613</v>
      </c>
      <c r="J47" s="110">
        <f>_xlfn.XLOOKUP(F47,Assumptions!$B$28:$B$34,Assumptions!$C$28:$C$34)</f>
        <v>3.5</v>
      </c>
      <c r="L47" s="99">
        <f t="shared" si="0"/>
        <v>252.40384615384613</v>
      </c>
      <c r="M47" s="93">
        <f t="shared" si="2"/>
        <v>0</v>
      </c>
    </row>
    <row r="48" spans="2:13" x14ac:dyDescent="0.3">
      <c r="B48" s="105"/>
      <c r="C48" s="49" t="s">
        <v>83</v>
      </c>
      <c r="D48" s="61" t="str">
        <f>Assumptions!$B$24</f>
        <v>$150,000+</v>
      </c>
      <c r="E48" s="49" t="s">
        <v>128</v>
      </c>
      <c r="F48" s="110" t="s">
        <v>99</v>
      </c>
      <c r="G48" s="5"/>
      <c r="H48" s="98">
        <f>_xlfn.XLOOKUP(D48,Assumptions!$B$19:$B$24,Assumptions!$C$19:$C$24)</f>
        <v>150000</v>
      </c>
      <c r="I48" s="52">
        <f>H48/Assumptions!$C$8</f>
        <v>72.115384615384613</v>
      </c>
      <c r="J48" s="109">
        <f>_xlfn.XLOOKUP(F48,Assumptions!$B$28:$B$34,Assumptions!$C$28:$C$34)</f>
        <v>5.5</v>
      </c>
      <c r="L48" s="98">
        <f t="shared" si="0"/>
        <v>396.63461538461536</v>
      </c>
      <c r="M48" s="91">
        <f t="shared" si="2"/>
        <v>0</v>
      </c>
    </row>
    <row r="49" spans="1:13" x14ac:dyDescent="0.3">
      <c r="B49" s="105"/>
      <c r="C49" s="49" t="s">
        <v>83</v>
      </c>
      <c r="D49" s="61" t="str">
        <f>Assumptions!$B$24</f>
        <v>$150,000+</v>
      </c>
      <c r="E49" s="49" t="s">
        <v>128</v>
      </c>
      <c r="F49" s="110" t="s">
        <v>100</v>
      </c>
      <c r="G49" s="5"/>
      <c r="H49" s="99">
        <f>_xlfn.XLOOKUP(D49,Assumptions!$B$19:$B$24,Assumptions!$C$19:$C$24)</f>
        <v>150000</v>
      </c>
      <c r="I49" s="52">
        <f>H49/Assumptions!$C$8</f>
        <v>72.115384615384613</v>
      </c>
      <c r="J49" s="110">
        <f>_xlfn.XLOOKUP(F49,Assumptions!$B$28:$B$34,Assumptions!$C$28:$C$34)</f>
        <v>7.5</v>
      </c>
      <c r="L49" s="99">
        <f t="shared" si="0"/>
        <v>540.86538461538464</v>
      </c>
      <c r="M49" s="119">
        <f t="shared" si="2"/>
        <v>0</v>
      </c>
    </row>
    <row r="50" spans="1:13" x14ac:dyDescent="0.3">
      <c r="B50" s="105"/>
      <c r="C50" s="49" t="s">
        <v>83</v>
      </c>
      <c r="D50" s="61" t="str">
        <f>Assumptions!$B$24</f>
        <v>$150,000+</v>
      </c>
      <c r="E50" s="49" t="s">
        <v>128</v>
      </c>
      <c r="F50" s="110" t="s">
        <v>101</v>
      </c>
      <c r="G50" s="5"/>
      <c r="H50" s="99">
        <f>_xlfn.XLOOKUP(D50,Assumptions!$B$19:$B$24,Assumptions!$C$19:$C$24)</f>
        <v>150000</v>
      </c>
      <c r="I50" s="52">
        <f>H50/Assumptions!$C$8</f>
        <v>72.115384615384613</v>
      </c>
      <c r="J50" s="110">
        <f>_xlfn.XLOOKUP(F50,Assumptions!$B$28:$B$34,Assumptions!$C$28:$C$34)</f>
        <v>9.5</v>
      </c>
      <c r="L50" s="99">
        <f t="shared" si="0"/>
        <v>685.09615384615381</v>
      </c>
      <c r="M50" s="119">
        <f t="shared" si="2"/>
        <v>0</v>
      </c>
    </row>
    <row r="51" spans="1:13" x14ac:dyDescent="0.3">
      <c r="B51" s="105"/>
      <c r="C51" s="49" t="s">
        <v>83</v>
      </c>
      <c r="D51" s="61" t="str">
        <f>Assumptions!$B$24</f>
        <v>$150,000+</v>
      </c>
      <c r="E51" s="49" t="s">
        <v>128</v>
      </c>
      <c r="F51" s="110" t="s">
        <v>102</v>
      </c>
      <c r="G51" s="5"/>
      <c r="H51" s="99">
        <f>_xlfn.XLOOKUP(D51,Assumptions!$B$19:$B$24,Assumptions!$C$19:$C$24)</f>
        <v>150000</v>
      </c>
      <c r="I51" s="52">
        <f>H51/Assumptions!$C$8</f>
        <v>72.115384615384613</v>
      </c>
      <c r="J51" s="110">
        <f>_xlfn.XLOOKUP(F51,Assumptions!$B$28:$B$34,Assumptions!$C$28:$C$34)</f>
        <v>10</v>
      </c>
      <c r="L51" s="99">
        <f t="shared" si="0"/>
        <v>721.15384615384619</v>
      </c>
      <c r="M51" s="119">
        <f t="shared" si="2"/>
        <v>0</v>
      </c>
    </row>
    <row r="52" spans="1:13" x14ac:dyDescent="0.3">
      <c r="B52" s="105"/>
      <c r="C52" s="49" t="s">
        <v>84</v>
      </c>
      <c r="D52" s="61" t="str">
        <f>Assumptions!$B$19</f>
        <v>$0 - $30,000</v>
      </c>
      <c r="E52" s="49" t="s">
        <v>128</v>
      </c>
      <c r="F52" s="110" t="s">
        <v>97</v>
      </c>
      <c r="G52" s="5"/>
      <c r="H52" s="99">
        <f>_xlfn.XLOOKUP(D52,Assumptions!$B$19:$B$24,Assumptions!$C$19:$C$24)</f>
        <v>15000</v>
      </c>
      <c r="I52" s="52">
        <f>H52/Assumptions!$C$8</f>
        <v>7.2115384615384617</v>
      </c>
      <c r="J52" s="110">
        <f>_xlfn.XLOOKUP(F52,Assumptions!$B$28:$B$34,Assumptions!$C$28:$C$34)</f>
        <v>1.5</v>
      </c>
      <c r="L52" s="99">
        <f t="shared" si="0"/>
        <v>10.817307692307693</v>
      </c>
      <c r="M52" s="119">
        <f t="shared" ref="M52:M69" si="3">L52*B52</f>
        <v>0</v>
      </c>
    </row>
    <row r="53" spans="1:13" x14ac:dyDescent="0.3">
      <c r="A53" s="6"/>
      <c r="B53" s="105"/>
      <c r="C53" s="49" t="s">
        <v>84</v>
      </c>
      <c r="D53" s="61" t="str">
        <f>Assumptions!$B$19</f>
        <v>$0 - $30,000</v>
      </c>
      <c r="E53" s="49" t="s">
        <v>128</v>
      </c>
      <c r="F53" s="110" t="s">
        <v>98</v>
      </c>
      <c r="G53" s="5"/>
      <c r="H53" s="99">
        <f>_xlfn.XLOOKUP(D53,Assumptions!$B$19:$B$24,Assumptions!$C$19:$C$24)</f>
        <v>15000</v>
      </c>
      <c r="I53" s="52">
        <f>H53/Assumptions!$C$8</f>
        <v>7.2115384615384617</v>
      </c>
      <c r="J53" s="110">
        <f>_xlfn.XLOOKUP(F53,Assumptions!$B$28:$B$34,Assumptions!$C$28:$C$34)</f>
        <v>3.5</v>
      </c>
      <c r="L53" s="99">
        <f t="shared" si="0"/>
        <v>25.240384615384617</v>
      </c>
      <c r="M53" s="119">
        <f t="shared" si="3"/>
        <v>0</v>
      </c>
    </row>
    <row r="54" spans="1:13" x14ac:dyDescent="0.3">
      <c r="B54" s="105"/>
      <c r="C54" s="49" t="s">
        <v>84</v>
      </c>
      <c r="D54" s="61" t="str">
        <f>Assumptions!$B$19</f>
        <v>$0 - $30,000</v>
      </c>
      <c r="E54" s="49" t="s">
        <v>128</v>
      </c>
      <c r="F54" s="110" t="s">
        <v>99</v>
      </c>
      <c r="G54" s="5"/>
      <c r="H54" s="99">
        <f>_xlfn.XLOOKUP(D54,Assumptions!$B$19:$B$24,Assumptions!$C$19:$C$24)</f>
        <v>15000</v>
      </c>
      <c r="I54" s="52">
        <f>H54/Assumptions!$C$8</f>
        <v>7.2115384615384617</v>
      </c>
      <c r="J54" s="110">
        <f>_xlfn.XLOOKUP(F54,Assumptions!$B$28:$B$34,Assumptions!$C$28:$C$34)</f>
        <v>5.5</v>
      </c>
      <c r="L54" s="99">
        <f t="shared" si="0"/>
        <v>39.66346153846154</v>
      </c>
      <c r="M54" s="119">
        <f t="shared" si="3"/>
        <v>0</v>
      </c>
    </row>
    <row r="55" spans="1:13" x14ac:dyDescent="0.3">
      <c r="B55" s="105"/>
      <c r="C55" s="49" t="s">
        <v>84</v>
      </c>
      <c r="D55" s="61" t="str">
        <f>Assumptions!$B$19</f>
        <v>$0 - $30,000</v>
      </c>
      <c r="E55" s="49" t="s">
        <v>128</v>
      </c>
      <c r="F55" s="110" t="s">
        <v>100</v>
      </c>
      <c r="G55" s="5"/>
      <c r="H55" s="99">
        <f>_xlfn.XLOOKUP(D55,Assumptions!$B$19:$B$24,Assumptions!$C$19:$C$24)</f>
        <v>15000</v>
      </c>
      <c r="I55" s="52">
        <f>H55/Assumptions!$C$8</f>
        <v>7.2115384615384617</v>
      </c>
      <c r="J55" s="110">
        <f>_xlfn.XLOOKUP(F55,Assumptions!$B$28:$B$34,Assumptions!$C$28:$C$34)</f>
        <v>7.5</v>
      </c>
      <c r="L55" s="99">
        <f t="shared" si="0"/>
        <v>54.08653846153846</v>
      </c>
      <c r="M55" s="119">
        <f t="shared" si="3"/>
        <v>0</v>
      </c>
    </row>
    <row r="56" spans="1:13" x14ac:dyDescent="0.3">
      <c r="B56" s="105"/>
      <c r="C56" s="49" t="s">
        <v>84</v>
      </c>
      <c r="D56" s="61" t="str">
        <f>Assumptions!$B$19</f>
        <v>$0 - $30,000</v>
      </c>
      <c r="E56" s="49" t="s">
        <v>128</v>
      </c>
      <c r="F56" s="110" t="s">
        <v>101</v>
      </c>
      <c r="G56" s="5"/>
      <c r="H56" s="99">
        <f>_xlfn.XLOOKUP(D56,Assumptions!$B$19:$B$24,Assumptions!$C$19:$C$24)</f>
        <v>15000</v>
      </c>
      <c r="I56" s="52">
        <f>H56/Assumptions!$C$8</f>
        <v>7.2115384615384617</v>
      </c>
      <c r="J56" s="110">
        <f>_xlfn.XLOOKUP(F56,Assumptions!$B$28:$B$34,Assumptions!$C$28:$C$34)</f>
        <v>9.5</v>
      </c>
      <c r="L56" s="99">
        <f t="shared" si="0"/>
        <v>68.509615384615387</v>
      </c>
      <c r="M56" s="119">
        <f t="shared" si="3"/>
        <v>0</v>
      </c>
    </row>
    <row r="57" spans="1:13" x14ac:dyDescent="0.3">
      <c r="B57" s="105"/>
      <c r="C57" s="49" t="s">
        <v>84</v>
      </c>
      <c r="D57" s="61" t="str">
        <f>Assumptions!$B$19</f>
        <v>$0 - $30,000</v>
      </c>
      <c r="E57" s="49" t="s">
        <v>128</v>
      </c>
      <c r="F57" s="110" t="s">
        <v>102</v>
      </c>
      <c r="G57" s="5"/>
      <c r="H57" s="99">
        <f>_xlfn.XLOOKUP(D57,Assumptions!$B$19:$B$24,Assumptions!$C$19:$C$24)</f>
        <v>15000</v>
      </c>
      <c r="I57" s="52">
        <f>H57/Assumptions!$C$8</f>
        <v>7.2115384615384617</v>
      </c>
      <c r="J57" s="110">
        <f>_xlfn.XLOOKUP(F57,Assumptions!$B$28:$B$34,Assumptions!$C$28:$C$34)</f>
        <v>10</v>
      </c>
      <c r="L57" s="99">
        <f t="shared" si="0"/>
        <v>72.115384615384613</v>
      </c>
      <c r="M57" s="119">
        <f t="shared" si="3"/>
        <v>0</v>
      </c>
    </row>
    <row r="58" spans="1:13" x14ac:dyDescent="0.3">
      <c r="B58" s="105"/>
      <c r="C58" s="49" t="s">
        <v>84</v>
      </c>
      <c r="D58" s="61" t="str">
        <f>Assumptions!$B$20</f>
        <v>$30,001 - $60,000</v>
      </c>
      <c r="E58" s="49" t="s">
        <v>128</v>
      </c>
      <c r="F58" s="110" t="s">
        <v>97</v>
      </c>
      <c r="G58" s="5"/>
      <c r="H58" s="98">
        <f>_xlfn.XLOOKUP(D58,Assumptions!$B$19:$B$24,Assumptions!$C$19:$C$24)</f>
        <v>45000</v>
      </c>
      <c r="I58" s="52">
        <f>H58/Assumptions!$C$8</f>
        <v>21.634615384615383</v>
      </c>
      <c r="J58" s="109">
        <f>_xlfn.XLOOKUP(F58,Assumptions!$B$28:$B$34,Assumptions!$C$28:$C$34)</f>
        <v>1.5</v>
      </c>
      <c r="L58" s="99">
        <f t="shared" si="0"/>
        <v>32.451923076923073</v>
      </c>
      <c r="M58" s="119">
        <f t="shared" si="3"/>
        <v>0</v>
      </c>
    </row>
    <row r="59" spans="1:13" x14ac:dyDescent="0.3">
      <c r="B59" s="105"/>
      <c r="C59" s="49" t="s">
        <v>84</v>
      </c>
      <c r="D59" s="61" t="str">
        <f>Assumptions!$B$20</f>
        <v>$30,001 - $60,000</v>
      </c>
      <c r="E59" s="49" t="s">
        <v>128</v>
      </c>
      <c r="F59" s="110" t="s">
        <v>98</v>
      </c>
      <c r="G59" s="5"/>
      <c r="H59" s="99">
        <f>_xlfn.XLOOKUP(D59,Assumptions!$B$19:$B$24,Assumptions!$C$19:$C$24)</f>
        <v>45000</v>
      </c>
      <c r="I59" s="52">
        <f>H59/Assumptions!$C$8</f>
        <v>21.634615384615383</v>
      </c>
      <c r="J59" s="110">
        <f>_xlfn.XLOOKUP(F59,Assumptions!$B$28:$B$34,Assumptions!$C$28:$C$34)</f>
        <v>3.5</v>
      </c>
      <c r="L59" s="99">
        <f t="shared" si="0"/>
        <v>75.72115384615384</v>
      </c>
      <c r="M59" s="119">
        <f t="shared" si="3"/>
        <v>0</v>
      </c>
    </row>
    <row r="60" spans="1:13" x14ac:dyDescent="0.3">
      <c r="B60" s="105"/>
      <c r="C60" s="49" t="s">
        <v>84</v>
      </c>
      <c r="D60" s="61" t="str">
        <f>Assumptions!$B$20</f>
        <v>$30,001 - $60,000</v>
      </c>
      <c r="E60" s="49" t="s">
        <v>128</v>
      </c>
      <c r="F60" s="110" t="s">
        <v>99</v>
      </c>
      <c r="G60" s="5"/>
      <c r="H60" s="98">
        <f>_xlfn.XLOOKUP(D60,Assumptions!$B$19:$B$24,Assumptions!$C$19:$C$24)</f>
        <v>45000</v>
      </c>
      <c r="I60" s="52">
        <f>H60/Assumptions!$C$8</f>
        <v>21.634615384615383</v>
      </c>
      <c r="J60" s="109">
        <f>_xlfn.XLOOKUP(F60,Assumptions!$B$28:$B$34,Assumptions!$C$28:$C$34)</f>
        <v>5.5</v>
      </c>
      <c r="L60" s="99">
        <f t="shared" si="0"/>
        <v>118.99038461538461</v>
      </c>
      <c r="M60" s="119">
        <f t="shared" si="3"/>
        <v>0</v>
      </c>
    </row>
    <row r="61" spans="1:13" x14ac:dyDescent="0.3">
      <c r="B61" s="105"/>
      <c r="C61" s="49" t="s">
        <v>84</v>
      </c>
      <c r="D61" s="61" t="str">
        <f>Assumptions!$B$20</f>
        <v>$30,001 - $60,000</v>
      </c>
      <c r="E61" s="49" t="s">
        <v>128</v>
      </c>
      <c r="F61" s="110" t="s">
        <v>100</v>
      </c>
      <c r="G61" s="5"/>
      <c r="H61" s="99">
        <f>_xlfn.XLOOKUP(D61,Assumptions!$B$19:$B$24,Assumptions!$C$19:$C$24)</f>
        <v>45000</v>
      </c>
      <c r="I61" s="52">
        <f>H61/Assumptions!$C$8</f>
        <v>21.634615384615383</v>
      </c>
      <c r="J61" s="110">
        <f>_xlfn.XLOOKUP(F61,Assumptions!$B$28:$B$34,Assumptions!$C$28:$C$34)</f>
        <v>7.5</v>
      </c>
      <c r="L61" s="99">
        <f t="shared" si="0"/>
        <v>162.25961538461539</v>
      </c>
      <c r="M61" s="93">
        <f t="shared" si="3"/>
        <v>0</v>
      </c>
    </row>
    <row r="62" spans="1:13" x14ac:dyDescent="0.3">
      <c r="B62" s="105"/>
      <c r="C62" s="49" t="s">
        <v>84</v>
      </c>
      <c r="D62" s="61" t="str">
        <f>Assumptions!$B$20</f>
        <v>$30,001 - $60,000</v>
      </c>
      <c r="E62" s="49" t="s">
        <v>128</v>
      </c>
      <c r="F62" s="110" t="s">
        <v>101</v>
      </c>
      <c r="G62" s="5"/>
      <c r="H62" s="98">
        <f>_xlfn.XLOOKUP(D62,Assumptions!$B$19:$B$24,Assumptions!$C$19:$C$24)</f>
        <v>45000</v>
      </c>
      <c r="I62" s="52">
        <f>H62/Assumptions!$C$8</f>
        <v>21.634615384615383</v>
      </c>
      <c r="J62" s="109">
        <f>_xlfn.XLOOKUP(F62,Assumptions!$B$28:$B$34,Assumptions!$C$28:$C$34)</f>
        <v>9.5</v>
      </c>
      <c r="L62" s="98">
        <f t="shared" si="0"/>
        <v>205.52884615384613</v>
      </c>
      <c r="M62" s="91">
        <f t="shared" si="3"/>
        <v>0</v>
      </c>
    </row>
    <row r="63" spans="1:13" x14ac:dyDescent="0.3">
      <c r="B63" s="105"/>
      <c r="C63" s="49" t="s">
        <v>84</v>
      </c>
      <c r="D63" s="61" t="str">
        <f>Assumptions!$B$20</f>
        <v>$30,001 - $60,000</v>
      </c>
      <c r="E63" s="49" t="s">
        <v>128</v>
      </c>
      <c r="F63" s="110" t="s">
        <v>102</v>
      </c>
      <c r="G63" s="5"/>
      <c r="H63" s="99">
        <f>_xlfn.XLOOKUP(D63,Assumptions!$B$19:$B$24,Assumptions!$C$19:$C$24)</f>
        <v>45000</v>
      </c>
      <c r="I63" s="52">
        <f>H63/Assumptions!$C$8</f>
        <v>21.634615384615383</v>
      </c>
      <c r="J63" s="110">
        <f>_xlfn.XLOOKUP(F63,Assumptions!$B$28:$B$34,Assumptions!$C$28:$C$34)</f>
        <v>10</v>
      </c>
      <c r="L63" s="99">
        <f t="shared" si="0"/>
        <v>216.34615384615384</v>
      </c>
      <c r="M63" s="93">
        <f t="shared" si="3"/>
        <v>0</v>
      </c>
    </row>
    <row r="64" spans="1:13" x14ac:dyDescent="0.3">
      <c r="B64" s="105"/>
      <c r="C64" s="49" t="s">
        <v>84</v>
      </c>
      <c r="D64" s="61" t="str">
        <f>Assumptions!$B$21</f>
        <v>$60,001 - $90,000</v>
      </c>
      <c r="E64" s="49" t="s">
        <v>128</v>
      </c>
      <c r="F64" s="110" t="s">
        <v>97</v>
      </c>
      <c r="G64" s="5"/>
      <c r="H64" s="98">
        <f>_xlfn.XLOOKUP(D64,Assumptions!$B$19:$B$24,Assumptions!$C$19:$C$24)</f>
        <v>75000</v>
      </c>
      <c r="I64" s="52">
        <f>H64/Assumptions!$C$8</f>
        <v>36.057692307692307</v>
      </c>
      <c r="J64" s="109">
        <f>_xlfn.XLOOKUP(F64,Assumptions!$B$28:$B$34,Assumptions!$C$28:$C$34)</f>
        <v>1.5</v>
      </c>
      <c r="L64" s="98">
        <f t="shared" si="0"/>
        <v>54.08653846153846</v>
      </c>
      <c r="M64" s="91">
        <f t="shared" si="3"/>
        <v>0</v>
      </c>
    </row>
    <row r="65" spans="2:13" x14ac:dyDescent="0.3">
      <c r="B65" s="106"/>
      <c r="C65" s="49" t="s">
        <v>84</v>
      </c>
      <c r="D65" s="61" t="str">
        <f>Assumptions!$B$21</f>
        <v>$60,001 - $90,000</v>
      </c>
      <c r="E65" s="49" t="s">
        <v>128</v>
      </c>
      <c r="F65" s="110" t="s">
        <v>98</v>
      </c>
      <c r="G65" s="5"/>
      <c r="H65" s="99">
        <f>_xlfn.XLOOKUP(D65,Assumptions!$B$19:$B$24,Assumptions!$C$19:$C$24)</f>
        <v>75000</v>
      </c>
      <c r="I65" s="52">
        <f>H65/Assumptions!$C$8</f>
        <v>36.057692307692307</v>
      </c>
      <c r="J65" s="110">
        <f>_xlfn.XLOOKUP(F65,Assumptions!$B$28:$B$34,Assumptions!$C$28:$C$34)</f>
        <v>3.5</v>
      </c>
      <c r="L65" s="99">
        <f t="shared" si="0"/>
        <v>126.20192307692307</v>
      </c>
      <c r="M65" s="93">
        <f t="shared" si="3"/>
        <v>0</v>
      </c>
    </row>
    <row r="66" spans="2:13" x14ac:dyDescent="0.3">
      <c r="B66" s="106"/>
      <c r="C66" s="49" t="s">
        <v>84</v>
      </c>
      <c r="D66" s="61" t="str">
        <f>Assumptions!$B$21</f>
        <v>$60,001 - $90,000</v>
      </c>
      <c r="E66" s="49" t="s">
        <v>128</v>
      </c>
      <c r="F66" s="110" t="s">
        <v>99</v>
      </c>
      <c r="G66" s="5"/>
      <c r="H66" s="98">
        <f>_xlfn.XLOOKUP(D66,Assumptions!$B$19:$B$24,Assumptions!$C$19:$C$24)</f>
        <v>75000</v>
      </c>
      <c r="I66" s="52">
        <f>H66/Assumptions!$C$8</f>
        <v>36.057692307692307</v>
      </c>
      <c r="J66" s="109">
        <f>_xlfn.XLOOKUP(F66,Assumptions!$B$28:$B$34,Assumptions!$C$28:$C$34)</f>
        <v>5.5</v>
      </c>
      <c r="L66" s="98">
        <f t="shared" si="0"/>
        <v>198.31730769230768</v>
      </c>
      <c r="M66" s="91">
        <f t="shared" si="3"/>
        <v>0</v>
      </c>
    </row>
    <row r="67" spans="2:13" x14ac:dyDescent="0.3">
      <c r="B67" s="105"/>
      <c r="C67" s="49" t="s">
        <v>84</v>
      </c>
      <c r="D67" s="61" t="str">
        <f>Assumptions!$B$21</f>
        <v>$60,001 - $90,000</v>
      </c>
      <c r="E67" s="49" t="s">
        <v>128</v>
      </c>
      <c r="F67" s="110" t="s">
        <v>100</v>
      </c>
      <c r="G67" s="5"/>
      <c r="H67" s="99">
        <f>_xlfn.XLOOKUP(D67,Assumptions!$B$19:$B$24,Assumptions!$C$19:$C$24)</f>
        <v>75000</v>
      </c>
      <c r="I67" s="52">
        <f>H67/Assumptions!$C$8</f>
        <v>36.057692307692307</v>
      </c>
      <c r="J67" s="110">
        <f>_xlfn.XLOOKUP(F67,Assumptions!$B$28:$B$34,Assumptions!$C$28:$C$34)</f>
        <v>7.5</v>
      </c>
      <c r="L67" s="99">
        <f t="shared" si="0"/>
        <v>270.43269230769232</v>
      </c>
      <c r="M67" s="93">
        <f t="shared" si="3"/>
        <v>0</v>
      </c>
    </row>
    <row r="68" spans="2:13" x14ac:dyDescent="0.3">
      <c r="B68" s="106"/>
      <c r="C68" s="49" t="s">
        <v>84</v>
      </c>
      <c r="D68" s="61" t="str">
        <f>Assumptions!$B$21</f>
        <v>$60,001 - $90,000</v>
      </c>
      <c r="E68" s="49" t="s">
        <v>128</v>
      </c>
      <c r="F68" s="110" t="s">
        <v>101</v>
      </c>
      <c r="G68" s="5"/>
      <c r="H68" s="98">
        <f>_xlfn.XLOOKUP(D68,Assumptions!$B$19:$B$24,Assumptions!$C$19:$C$24)</f>
        <v>75000</v>
      </c>
      <c r="I68" s="52">
        <f>H68/Assumptions!$C$8</f>
        <v>36.057692307692307</v>
      </c>
      <c r="J68" s="109">
        <f>_xlfn.XLOOKUP(F68,Assumptions!$B$28:$B$34,Assumptions!$C$28:$C$34)</f>
        <v>9.5</v>
      </c>
      <c r="L68" s="98">
        <f t="shared" si="0"/>
        <v>342.54807692307691</v>
      </c>
      <c r="M68" s="91">
        <f t="shared" si="3"/>
        <v>0</v>
      </c>
    </row>
    <row r="69" spans="2:13" x14ac:dyDescent="0.3">
      <c r="B69" s="106"/>
      <c r="C69" s="49" t="s">
        <v>84</v>
      </c>
      <c r="D69" s="61" t="str">
        <f>Assumptions!$B$21</f>
        <v>$60,001 - $90,000</v>
      </c>
      <c r="E69" s="49" t="s">
        <v>128</v>
      </c>
      <c r="F69" s="110" t="s">
        <v>102</v>
      </c>
      <c r="G69" s="5"/>
      <c r="H69" s="99">
        <f>_xlfn.XLOOKUP(D69,Assumptions!$B$19:$B$24,Assumptions!$C$19:$C$24)</f>
        <v>75000</v>
      </c>
      <c r="I69" s="52">
        <f>H69/Assumptions!$C$8</f>
        <v>36.057692307692307</v>
      </c>
      <c r="J69" s="110">
        <f>_xlfn.XLOOKUP(F69,Assumptions!$B$28:$B$34,Assumptions!$C$28:$C$34)</f>
        <v>10</v>
      </c>
      <c r="L69" s="99">
        <f t="shared" si="0"/>
        <v>360.57692307692309</v>
      </c>
      <c r="M69" s="93">
        <f t="shared" si="3"/>
        <v>0</v>
      </c>
    </row>
    <row r="70" spans="2:13" x14ac:dyDescent="0.3">
      <c r="B70" s="105"/>
      <c r="C70" s="49" t="s">
        <v>84</v>
      </c>
      <c r="D70" s="61" t="str">
        <f>Assumptions!$B$22</f>
        <v>$90,001 - $120,000</v>
      </c>
      <c r="E70" s="49" t="s">
        <v>128</v>
      </c>
      <c r="F70" s="110" t="s">
        <v>97</v>
      </c>
      <c r="G70" s="5"/>
      <c r="H70" s="98">
        <f>_xlfn.XLOOKUP(D70,Assumptions!$B$19:$B$24,Assumptions!$C$19:$C$24)</f>
        <v>105000</v>
      </c>
      <c r="I70" s="52">
        <f>H70/Assumptions!$C$8</f>
        <v>50.480769230769234</v>
      </c>
      <c r="J70" s="109">
        <f>_xlfn.XLOOKUP(F70,Assumptions!$B$28:$B$34,Assumptions!$C$28:$C$34)</f>
        <v>1.5</v>
      </c>
      <c r="L70" s="98">
        <f t="shared" si="0"/>
        <v>75.721153846153854</v>
      </c>
      <c r="M70" s="91">
        <f t="shared" ref="M70:M87" si="4">L70*B70</f>
        <v>0</v>
      </c>
    </row>
    <row r="71" spans="2:13" x14ac:dyDescent="0.3">
      <c r="B71" s="106"/>
      <c r="C71" s="49" t="s">
        <v>84</v>
      </c>
      <c r="D71" s="61" t="str">
        <f>Assumptions!$B$22</f>
        <v>$90,001 - $120,000</v>
      </c>
      <c r="E71" s="49" t="s">
        <v>128</v>
      </c>
      <c r="F71" s="110" t="s">
        <v>98</v>
      </c>
      <c r="G71" s="5"/>
      <c r="H71" s="99">
        <f>_xlfn.XLOOKUP(D71,Assumptions!$B$19:$B$24,Assumptions!$C$19:$C$24)</f>
        <v>105000</v>
      </c>
      <c r="I71" s="52">
        <f>H71/Assumptions!$C$8</f>
        <v>50.480769230769234</v>
      </c>
      <c r="J71" s="110">
        <f>_xlfn.XLOOKUP(F71,Assumptions!$B$28:$B$34,Assumptions!$C$28:$C$34)</f>
        <v>3.5</v>
      </c>
      <c r="L71" s="99">
        <f t="shared" si="0"/>
        <v>176.68269230769232</v>
      </c>
      <c r="M71" s="93">
        <f t="shared" si="4"/>
        <v>0</v>
      </c>
    </row>
    <row r="72" spans="2:13" x14ac:dyDescent="0.3">
      <c r="B72" s="106"/>
      <c r="C72" s="49" t="s">
        <v>84</v>
      </c>
      <c r="D72" s="61" t="str">
        <f>Assumptions!$B$22</f>
        <v>$90,001 - $120,000</v>
      </c>
      <c r="E72" s="49" t="s">
        <v>128</v>
      </c>
      <c r="F72" s="110" t="s">
        <v>99</v>
      </c>
      <c r="G72" s="5"/>
      <c r="H72" s="98">
        <f>_xlfn.XLOOKUP(D72,Assumptions!$B$19:$B$24,Assumptions!$C$19:$C$24)</f>
        <v>105000</v>
      </c>
      <c r="I72" s="52">
        <f>H72/Assumptions!$C$8</f>
        <v>50.480769230769234</v>
      </c>
      <c r="J72" s="109">
        <f>_xlfn.XLOOKUP(F72,Assumptions!$B$28:$B$34,Assumptions!$C$28:$C$34)</f>
        <v>5.5</v>
      </c>
      <c r="L72" s="98">
        <f t="shared" si="0"/>
        <v>277.64423076923077</v>
      </c>
      <c r="M72" s="91">
        <f t="shared" si="4"/>
        <v>0</v>
      </c>
    </row>
    <row r="73" spans="2:13" x14ac:dyDescent="0.3">
      <c r="B73" s="105"/>
      <c r="C73" s="49" t="s">
        <v>84</v>
      </c>
      <c r="D73" s="61" t="str">
        <f>Assumptions!$B$22</f>
        <v>$90,001 - $120,000</v>
      </c>
      <c r="E73" s="49" t="s">
        <v>128</v>
      </c>
      <c r="F73" s="110" t="s">
        <v>100</v>
      </c>
      <c r="G73" s="5"/>
      <c r="H73" s="99">
        <f>_xlfn.XLOOKUP(D73,Assumptions!$B$19:$B$24,Assumptions!$C$19:$C$24)</f>
        <v>105000</v>
      </c>
      <c r="I73" s="52">
        <f>H73/Assumptions!$C$8</f>
        <v>50.480769230769234</v>
      </c>
      <c r="J73" s="110">
        <f>_xlfn.XLOOKUP(F73,Assumptions!$B$28:$B$34,Assumptions!$C$28:$C$34)</f>
        <v>7.5</v>
      </c>
      <c r="L73" s="99">
        <f t="shared" si="0"/>
        <v>378.60576923076923</v>
      </c>
      <c r="M73" s="93">
        <f t="shared" si="4"/>
        <v>0</v>
      </c>
    </row>
    <row r="74" spans="2:13" x14ac:dyDescent="0.3">
      <c r="B74" s="106"/>
      <c r="C74" s="49" t="s">
        <v>84</v>
      </c>
      <c r="D74" s="61" t="str">
        <f>Assumptions!$B$22</f>
        <v>$90,001 - $120,000</v>
      </c>
      <c r="E74" s="49" t="s">
        <v>128</v>
      </c>
      <c r="F74" s="110" t="s">
        <v>101</v>
      </c>
      <c r="G74" s="5"/>
      <c r="H74" s="98">
        <f>_xlfn.XLOOKUP(D74,Assumptions!$B$19:$B$24,Assumptions!$C$19:$C$24)</f>
        <v>105000</v>
      </c>
      <c r="I74" s="52">
        <f>H74/Assumptions!$C$8</f>
        <v>50.480769230769234</v>
      </c>
      <c r="J74" s="109">
        <f>_xlfn.XLOOKUP(F74,Assumptions!$B$28:$B$34,Assumptions!$C$28:$C$34)</f>
        <v>9.5</v>
      </c>
      <c r="L74" s="98">
        <f t="shared" si="0"/>
        <v>479.56730769230774</v>
      </c>
      <c r="M74" s="91">
        <f t="shared" si="4"/>
        <v>0</v>
      </c>
    </row>
    <row r="75" spans="2:13" x14ac:dyDescent="0.3">
      <c r="B75" s="106"/>
      <c r="C75" s="49" t="s">
        <v>84</v>
      </c>
      <c r="D75" s="61" t="str">
        <f>Assumptions!$B$22</f>
        <v>$90,001 - $120,000</v>
      </c>
      <c r="E75" s="49" t="s">
        <v>128</v>
      </c>
      <c r="F75" s="110" t="s">
        <v>102</v>
      </c>
      <c r="G75" s="5"/>
      <c r="H75" s="99">
        <f>_xlfn.XLOOKUP(D75,Assumptions!$B$19:$B$24,Assumptions!$C$19:$C$24)</f>
        <v>105000</v>
      </c>
      <c r="I75" s="52">
        <f>H75/Assumptions!$C$8</f>
        <v>50.480769230769234</v>
      </c>
      <c r="J75" s="110">
        <f>_xlfn.XLOOKUP(F75,Assumptions!$B$28:$B$34,Assumptions!$C$28:$C$34)</f>
        <v>10</v>
      </c>
      <c r="L75" s="99">
        <f t="shared" si="0"/>
        <v>504.80769230769232</v>
      </c>
      <c r="M75" s="93">
        <f t="shared" si="4"/>
        <v>0</v>
      </c>
    </row>
    <row r="76" spans="2:13" x14ac:dyDescent="0.3">
      <c r="B76" s="105"/>
      <c r="C76" s="49" t="s">
        <v>84</v>
      </c>
      <c r="D76" s="61" t="str">
        <f>Assumptions!$B$23</f>
        <v>$120,001 - $150,000</v>
      </c>
      <c r="E76" s="49" t="s">
        <v>128</v>
      </c>
      <c r="F76" s="110" t="s">
        <v>97</v>
      </c>
      <c r="G76" s="5"/>
      <c r="H76" s="98">
        <f>_xlfn.XLOOKUP(D76,Assumptions!$B$19:$B$24,Assumptions!$C$19:$C$24)</f>
        <v>135000</v>
      </c>
      <c r="I76" s="52">
        <f>H76/Assumptions!$C$8</f>
        <v>64.90384615384616</v>
      </c>
      <c r="J76" s="109">
        <f>_xlfn.XLOOKUP(F76,Assumptions!$B$28:$B$34,Assumptions!$C$28:$C$34)</f>
        <v>1.5</v>
      </c>
      <c r="L76" s="98">
        <f t="shared" si="0"/>
        <v>97.355769230769241</v>
      </c>
      <c r="M76" s="91">
        <f t="shared" si="4"/>
        <v>0</v>
      </c>
    </row>
    <row r="77" spans="2:13" x14ac:dyDescent="0.3">
      <c r="B77" s="106"/>
      <c r="C77" s="49" t="s">
        <v>84</v>
      </c>
      <c r="D77" s="61" t="str">
        <f>Assumptions!$B$23</f>
        <v>$120,001 - $150,000</v>
      </c>
      <c r="E77" s="49" t="s">
        <v>128</v>
      </c>
      <c r="F77" s="110" t="s">
        <v>98</v>
      </c>
      <c r="G77" s="5"/>
      <c r="H77" s="99">
        <f>_xlfn.XLOOKUP(D77,Assumptions!$B$19:$B$24,Assumptions!$C$19:$C$24)</f>
        <v>135000</v>
      </c>
      <c r="I77" s="52">
        <f>H77/Assumptions!$C$8</f>
        <v>64.90384615384616</v>
      </c>
      <c r="J77" s="110">
        <f>_xlfn.XLOOKUP(F77,Assumptions!$B$28:$B$34,Assumptions!$C$28:$C$34)</f>
        <v>3.5</v>
      </c>
      <c r="L77" s="99">
        <f t="shared" si="0"/>
        <v>227.16346153846155</v>
      </c>
      <c r="M77" s="93">
        <f t="shared" si="4"/>
        <v>0</v>
      </c>
    </row>
    <row r="78" spans="2:13" x14ac:dyDescent="0.3">
      <c r="B78" s="106"/>
      <c r="C78" s="49" t="s">
        <v>84</v>
      </c>
      <c r="D78" s="61" t="str">
        <f>Assumptions!$B$23</f>
        <v>$120,001 - $150,000</v>
      </c>
      <c r="E78" s="49" t="s">
        <v>128</v>
      </c>
      <c r="F78" s="110" t="s">
        <v>99</v>
      </c>
      <c r="G78" s="5"/>
      <c r="H78" s="98">
        <f>_xlfn.XLOOKUP(D78,Assumptions!$B$19:$B$24,Assumptions!$C$19:$C$24)</f>
        <v>135000</v>
      </c>
      <c r="I78" s="52">
        <f>H78/Assumptions!$C$8</f>
        <v>64.90384615384616</v>
      </c>
      <c r="J78" s="109">
        <f>_xlfn.XLOOKUP(F78,Assumptions!$B$28:$B$34,Assumptions!$C$28:$C$34)</f>
        <v>5.5</v>
      </c>
      <c r="L78" s="98">
        <f t="shared" si="0"/>
        <v>356.97115384615387</v>
      </c>
      <c r="M78" s="91">
        <f t="shared" si="4"/>
        <v>0</v>
      </c>
    </row>
    <row r="79" spans="2:13" x14ac:dyDescent="0.3">
      <c r="B79" s="105"/>
      <c r="C79" s="49" t="s">
        <v>84</v>
      </c>
      <c r="D79" s="61" t="str">
        <f>Assumptions!$B$23</f>
        <v>$120,001 - $150,000</v>
      </c>
      <c r="E79" s="49" t="s">
        <v>128</v>
      </c>
      <c r="F79" s="110" t="s">
        <v>100</v>
      </c>
      <c r="G79" s="5"/>
      <c r="H79" s="99">
        <f>_xlfn.XLOOKUP(D79,Assumptions!$B$19:$B$24,Assumptions!$C$19:$C$24)</f>
        <v>135000</v>
      </c>
      <c r="I79" s="52">
        <f>H79/Assumptions!$C$8</f>
        <v>64.90384615384616</v>
      </c>
      <c r="J79" s="110">
        <f>_xlfn.XLOOKUP(F79,Assumptions!$B$28:$B$34,Assumptions!$C$28:$C$34)</f>
        <v>7.5</v>
      </c>
      <c r="L79" s="99">
        <f t="shared" si="0"/>
        <v>486.77884615384619</v>
      </c>
      <c r="M79" s="93">
        <f t="shared" si="4"/>
        <v>0</v>
      </c>
    </row>
    <row r="80" spans="2:13" x14ac:dyDescent="0.3">
      <c r="B80" s="106"/>
      <c r="C80" s="49" t="s">
        <v>84</v>
      </c>
      <c r="D80" s="61" t="str">
        <f>Assumptions!$B$23</f>
        <v>$120,001 - $150,000</v>
      </c>
      <c r="E80" s="49" t="s">
        <v>128</v>
      </c>
      <c r="F80" s="110" t="s">
        <v>101</v>
      </c>
      <c r="G80" s="5"/>
      <c r="H80" s="98">
        <f>_xlfn.XLOOKUP(D80,Assumptions!$B$19:$B$24,Assumptions!$C$19:$C$24)</f>
        <v>135000</v>
      </c>
      <c r="I80" s="52">
        <f>H80/Assumptions!$C$8</f>
        <v>64.90384615384616</v>
      </c>
      <c r="J80" s="109">
        <f>_xlfn.XLOOKUP(F80,Assumptions!$B$28:$B$34,Assumptions!$C$28:$C$34)</f>
        <v>9.5</v>
      </c>
      <c r="L80" s="98">
        <f t="shared" ref="L80:L87" si="5">I80*J80</f>
        <v>616.58653846153857</v>
      </c>
      <c r="M80" s="91">
        <f t="shared" si="4"/>
        <v>0</v>
      </c>
    </row>
    <row r="81" spans="2:13" x14ac:dyDescent="0.3">
      <c r="B81" s="106"/>
      <c r="C81" s="49" t="s">
        <v>84</v>
      </c>
      <c r="D81" s="61" t="str">
        <f>Assumptions!$B$23</f>
        <v>$120,001 - $150,000</v>
      </c>
      <c r="E81" s="49" t="s">
        <v>128</v>
      </c>
      <c r="F81" s="110" t="s">
        <v>102</v>
      </c>
      <c r="G81" s="5"/>
      <c r="H81" s="99">
        <f>_xlfn.XLOOKUP(D81,Assumptions!$B$19:$B$24,Assumptions!$C$19:$C$24)</f>
        <v>135000</v>
      </c>
      <c r="I81" s="52">
        <f>H81/Assumptions!$C$8</f>
        <v>64.90384615384616</v>
      </c>
      <c r="J81" s="110">
        <f>_xlfn.XLOOKUP(F81,Assumptions!$B$28:$B$34,Assumptions!$C$28:$C$34)</f>
        <v>10</v>
      </c>
      <c r="L81" s="99">
        <f t="shared" si="5"/>
        <v>649.03846153846166</v>
      </c>
      <c r="M81" s="93">
        <f t="shared" si="4"/>
        <v>0</v>
      </c>
    </row>
    <row r="82" spans="2:13" x14ac:dyDescent="0.3">
      <c r="B82" s="105"/>
      <c r="C82" s="49" t="s">
        <v>84</v>
      </c>
      <c r="D82" s="61" t="str">
        <f>Assumptions!$B$24</f>
        <v>$150,000+</v>
      </c>
      <c r="E82" s="49" t="s">
        <v>128</v>
      </c>
      <c r="F82" s="110" t="s">
        <v>97</v>
      </c>
      <c r="G82" s="5"/>
      <c r="H82" s="98">
        <f>_xlfn.XLOOKUP(D82,Assumptions!$B$19:$B$24,Assumptions!$C$19:$C$24)</f>
        <v>150000</v>
      </c>
      <c r="I82" s="52">
        <f>H82/Assumptions!$C$8</f>
        <v>72.115384615384613</v>
      </c>
      <c r="J82" s="109">
        <f>_xlfn.XLOOKUP(F82,Assumptions!$B$28:$B$34,Assumptions!$C$28:$C$34)</f>
        <v>1.5</v>
      </c>
      <c r="L82" s="98">
        <f t="shared" si="5"/>
        <v>108.17307692307692</v>
      </c>
      <c r="M82" s="91">
        <f t="shared" si="4"/>
        <v>0</v>
      </c>
    </row>
    <row r="83" spans="2:13" x14ac:dyDescent="0.3">
      <c r="B83" s="106"/>
      <c r="C83" s="49" t="s">
        <v>84</v>
      </c>
      <c r="D83" s="61" t="str">
        <f>Assumptions!$B$24</f>
        <v>$150,000+</v>
      </c>
      <c r="E83" s="49" t="s">
        <v>128</v>
      </c>
      <c r="F83" s="110" t="s">
        <v>98</v>
      </c>
      <c r="G83" s="5"/>
      <c r="H83" s="99">
        <f>_xlfn.XLOOKUP(D83,Assumptions!$B$19:$B$24,Assumptions!$C$19:$C$24)</f>
        <v>150000</v>
      </c>
      <c r="I83" s="52">
        <f>H83/Assumptions!$C$8</f>
        <v>72.115384615384613</v>
      </c>
      <c r="J83" s="110">
        <f>_xlfn.XLOOKUP(F83,Assumptions!$B$28:$B$34,Assumptions!$C$28:$C$34)</f>
        <v>3.5</v>
      </c>
      <c r="L83" s="99">
        <f t="shared" si="5"/>
        <v>252.40384615384613</v>
      </c>
      <c r="M83" s="93">
        <f t="shared" si="4"/>
        <v>0</v>
      </c>
    </row>
    <row r="84" spans="2:13" x14ac:dyDescent="0.3">
      <c r="B84" s="106"/>
      <c r="C84" s="49" t="s">
        <v>84</v>
      </c>
      <c r="D84" s="61" t="str">
        <f>Assumptions!$B$24</f>
        <v>$150,000+</v>
      </c>
      <c r="E84" s="49" t="s">
        <v>128</v>
      </c>
      <c r="F84" s="110" t="s">
        <v>99</v>
      </c>
      <c r="G84" s="5"/>
      <c r="H84" s="98">
        <f>_xlfn.XLOOKUP(D84,Assumptions!$B$19:$B$24,Assumptions!$C$19:$C$24)</f>
        <v>150000</v>
      </c>
      <c r="I84" s="52">
        <f>H84/Assumptions!$C$8</f>
        <v>72.115384615384613</v>
      </c>
      <c r="J84" s="109">
        <f>_xlfn.XLOOKUP(F84,Assumptions!$B$28:$B$34,Assumptions!$C$28:$C$34)</f>
        <v>5.5</v>
      </c>
      <c r="L84" s="98">
        <f t="shared" si="5"/>
        <v>396.63461538461536</v>
      </c>
      <c r="M84" s="91">
        <f t="shared" si="4"/>
        <v>0</v>
      </c>
    </row>
    <row r="85" spans="2:13" x14ac:dyDescent="0.3">
      <c r="B85" s="105"/>
      <c r="C85" s="49" t="s">
        <v>84</v>
      </c>
      <c r="D85" s="61" t="str">
        <f>Assumptions!$B$24</f>
        <v>$150,000+</v>
      </c>
      <c r="E85" s="49" t="s">
        <v>128</v>
      </c>
      <c r="F85" s="110" t="s">
        <v>100</v>
      </c>
      <c r="G85" s="5"/>
      <c r="H85" s="99">
        <f>_xlfn.XLOOKUP(D85,Assumptions!$B$19:$B$24,Assumptions!$C$19:$C$24)</f>
        <v>150000</v>
      </c>
      <c r="I85" s="52">
        <f>H85/Assumptions!$C$8</f>
        <v>72.115384615384613</v>
      </c>
      <c r="J85" s="110">
        <f>_xlfn.XLOOKUP(F85,Assumptions!$B$28:$B$34,Assumptions!$C$28:$C$34)</f>
        <v>7.5</v>
      </c>
      <c r="L85" s="99">
        <f t="shared" si="5"/>
        <v>540.86538461538464</v>
      </c>
      <c r="M85" s="93">
        <f t="shared" si="4"/>
        <v>0</v>
      </c>
    </row>
    <row r="86" spans="2:13" x14ac:dyDescent="0.3">
      <c r="B86" s="106"/>
      <c r="C86" s="49" t="s">
        <v>84</v>
      </c>
      <c r="D86" s="61" t="str">
        <f>Assumptions!$B$24</f>
        <v>$150,000+</v>
      </c>
      <c r="E86" s="49" t="s">
        <v>128</v>
      </c>
      <c r="F86" s="110" t="s">
        <v>101</v>
      </c>
      <c r="G86" s="5"/>
      <c r="H86" s="98">
        <f>_xlfn.XLOOKUP(D86,Assumptions!$B$19:$B$24,Assumptions!$C$19:$C$24)</f>
        <v>150000</v>
      </c>
      <c r="I86" s="52">
        <f>H86/Assumptions!$C$8</f>
        <v>72.115384615384613</v>
      </c>
      <c r="J86" s="109">
        <f>_xlfn.XLOOKUP(F86,Assumptions!$B$28:$B$34,Assumptions!$C$28:$C$34)</f>
        <v>9.5</v>
      </c>
      <c r="L86" s="98">
        <f t="shared" si="5"/>
        <v>685.09615384615381</v>
      </c>
      <c r="M86" s="91">
        <f t="shared" si="4"/>
        <v>0</v>
      </c>
    </row>
    <row r="87" spans="2:13" ht="15" thickBot="1" x14ac:dyDescent="0.35">
      <c r="B87" s="111"/>
      <c r="C87" s="69" t="s">
        <v>84</v>
      </c>
      <c r="D87" s="70" t="str">
        <f>Assumptions!$B$24</f>
        <v>$150,000+</v>
      </c>
      <c r="E87" s="69" t="s">
        <v>128</v>
      </c>
      <c r="F87" s="112" t="s">
        <v>102</v>
      </c>
      <c r="G87" s="5"/>
      <c r="H87" s="100">
        <f>_xlfn.XLOOKUP(D87,Assumptions!$B$19:$B$24,Assumptions!$C$19:$C$24)</f>
        <v>150000</v>
      </c>
      <c r="I87" s="116">
        <f>H87/Assumptions!$C$8</f>
        <v>72.115384615384613</v>
      </c>
      <c r="J87" s="112">
        <f>_xlfn.XLOOKUP(F87,Assumptions!$B$28:$B$34,Assumptions!$C$28:$C$34)</f>
        <v>10</v>
      </c>
      <c r="L87" s="100">
        <f t="shared" si="5"/>
        <v>721.15384615384619</v>
      </c>
      <c r="M87" s="95">
        <f t="shared" si="4"/>
        <v>0</v>
      </c>
    </row>
  </sheetData>
  <sheetProtection algorithmName="SHA-512" hashValue="MQb3v5N4zt6r4dIZ35wxUFZTMi7iRz5kPGNZhEg7CnHPriI3HU8QS0dLDEae/ZWav073bHuEuD/Y+I55U+PGMA==" saltValue="4WjaC9aHf2Wt6C01itPk2A==" spinCount="100000" sheet="1" objects="1" scenarios="1"/>
  <hyperlinks>
    <hyperlink ref="A1" location="INSTRUCTIONS!A1" display="Instructions" xr:uid="{15077AFA-1093-435F-ADA3-CB54F8767A8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33F2-7EA0-4278-B737-FB6B07B9DB34}">
  <sheetPr>
    <tabColor rgb="FFFFC000"/>
  </sheetPr>
  <dimension ref="A1:E54"/>
  <sheetViews>
    <sheetView zoomScale="85" zoomScaleNormal="85" workbookViewId="0"/>
  </sheetViews>
  <sheetFormatPr defaultColWidth="8.88671875" defaultRowHeight="14.4" x14ac:dyDescent="0.3"/>
  <cols>
    <col min="1" max="1" width="8.88671875" style="1"/>
    <col min="2" max="2" width="27.33203125" style="1" bestFit="1" customWidth="1"/>
    <col min="3" max="3" width="141.109375" style="1" bestFit="1" customWidth="1"/>
    <col min="4" max="4" width="8.88671875" style="1"/>
    <col min="5" max="5" width="11" style="1" bestFit="1" customWidth="1"/>
    <col min="6" max="6" width="29.109375" style="1" bestFit="1" customWidth="1"/>
    <col min="7" max="16384" width="8.88671875" style="1"/>
  </cols>
  <sheetData>
    <row r="1" spans="1:3" ht="15" thickBot="1" x14ac:dyDescent="0.35">
      <c r="A1" s="54" t="s">
        <v>62</v>
      </c>
    </row>
    <row r="2" spans="1:3" x14ac:dyDescent="0.3">
      <c r="B2" s="12" t="s">
        <v>131</v>
      </c>
      <c r="C2" s="13"/>
    </row>
    <row r="3" spans="1:3" x14ac:dyDescent="0.3">
      <c r="B3" s="79" t="s">
        <v>130</v>
      </c>
      <c r="C3" s="15" t="s">
        <v>173</v>
      </c>
    </row>
    <row r="4" spans="1:3" x14ac:dyDescent="0.3">
      <c r="B4" s="81"/>
      <c r="C4" s="15"/>
    </row>
    <row r="5" spans="1:3" ht="15" thickBot="1" x14ac:dyDescent="0.35">
      <c r="B5" s="82" t="s">
        <v>132</v>
      </c>
      <c r="C5" s="23" t="s">
        <v>133</v>
      </c>
    </row>
    <row r="6" spans="1:3" ht="15" thickBot="1" x14ac:dyDescent="0.35"/>
    <row r="7" spans="1:3" x14ac:dyDescent="0.3">
      <c r="B7" s="12" t="s">
        <v>27</v>
      </c>
      <c r="C7" s="13"/>
    </row>
    <row r="8" spans="1:3" x14ac:dyDescent="0.3">
      <c r="B8" s="79" t="s">
        <v>62</v>
      </c>
      <c r="C8" s="15" t="s">
        <v>129</v>
      </c>
    </row>
    <row r="9" spans="1:3" x14ac:dyDescent="0.3">
      <c r="B9" s="77"/>
      <c r="C9" s="15"/>
    </row>
    <row r="10" spans="1:3" x14ac:dyDescent="0.3">
      <c r="B10" s="79" t="s">
        <v>28</v>
      </c>
      <c r="C10" s="15" t="s">
        <v>29</v>
      </c>
    </row>
    <row r="11" spans="1:3" x14ac:dyDescent="0.3">
      <c r="B11" s="14"/>
      <c r="C11" s="15"/>
    </row>
    <row r="12" spans="1:3" x14ac:dyDescent="0.3">
      <c r="B12" s="79" t="s">
        <v>30</v>
      </c>
      <c r="C12" s="15" t="s">
        <v>31</v>
      </c>
    </row>
    <row r="13" spans="1:3" x14ac:dyDescent="0.3">
      <c r="B13" s="14"/>
      <c r="C13" s="15"/>
    </row>
    <row r="14" spans="1:3" x14ac:dyDescent="0.3">
      <c r="B14" s="79" t="s">
        <v>174</v>
      </c>
      <c r="C14" s="15" t="s">
        <v>32</v>
      </c>
    </row>
    <row r="15" spans="1:3" x14ac:dyDescent="0.3">
      <c r="B15" s="78" t="s">
        <v>33</v>
      </c>
      <c r="C15" s="15" t="s">
        <v>135</v>
      </c>
    </row>
    <row r="16" spans="1:3" x14ac:dyDescent="0.3">
      <c r="B16" s="78" t="s">
        <v>34</v>
      </c>
      <c r="C16" s="15" t="s">
        <v>137</v>
      </c>
    </row>
    <row r="17" spans="2:5" x14ac:dyDescent="0.3">
      <c r="B17" s="78" t="s">
        <v>35</v>
      </c>
      <c r="C17" s="15" t="s">
        <v>36</v>
      </c>
    </row>
    <row r="18" spans="2:5" x14ac:dyDescent="0.3">
      <c r="B18" s="78" t="s">
        <v>37</v>
      </c>
      <c r="C18" s="15" t="s">
        <v>38</v>
      </c>
    </row>
    <row r="19" spans="2:5" ht="15" thickBot="1" x14ac:dyDescent="0.35">
      <c r="B19" s="80" t="s">
        <v>39</v>
      </c>
      <c r="C19" s="23" t="s">
        <v>138</v>
      </c>
    </row>
    <row r="20" spans="2:5" ht="15" thickBot="1" x14ac:dyDescent="0.35">
      <c r="B20" s="39"/>
    </row>
    <row r="21" spans="2:5" x14ac:dyDescent="0.3">
      <c r="B21" s="12" t="s">
        <v>40</v>
      </c>
      <c r="C21" s="13"/>
    </row>
    <row r="22" spans="2:5" x14ac:dyDescent="0.3">
      <c r="B22" s="16" t="s">
        <v>41</v>
      </c>
      <c r="C22" s="17" t="s">
        <v>42</v>
      </c>
    </row>
    <row r="23" spans="2:5" x14ac:dyDescent="0.3">
      <c r="B23" s="14" t="s">
        <v>41</v>
      </c>
      <c r="C23" s="15" t="s">
        <v>43</v>
      </c>
    </row>
    <row r="24" spans="2:5" x14ac:dyDescent="0.3">
      <c r="B24" s="18" t="s">
        <v>41</v>
      </c>
      <c r="C24" s="19" t="s">
        <v>44</v>
      </c>
    </row>
    <row r="25" spans="2:5" x14ac:dyDescent="0.3">
      <c r="B25" s="20" t="s">
        <v>41</v>
      </c>
      <c r="C25" s="21" t="s">
        <v>185</v>
      </c>
    </row>
    <row r="26" spans="2:5" x14ac:dyDescent="0.3">
      <c r="B26" s="26" t="s">
        <v>41</v>
      </c>
      <c r="C26" s="27" t="s">
        <v>45</v>
      </c>
    </row>
    <row r="27" spans="2:5" x14ac:dyDescent="0.3">
      <c r="B27" s="40" t="s">
        <v>41</v>
      </c>
      <c r="C27" s="41" t="s">
        <v>46</v>
      </c>
    </row>
    <row r="28" spans="2:5" x14ac:dyDescent="0.3">
      <c r="B28" s="56" t="s">
        <v>41</v>
      </c>
      <c r="C28" s="57" t="s">
        <v>47</v>
      </c>
      <c r="D28" s="55"/>
      <c r="E28" s="55"/>
    </row>
    <row r="29" spans="2:5" ht="15" thickBot="1" x14ac:dyDescent="0.35">
      <c r="B29" s="36" t="s">
        <v>41</v>
      </c>
      <c r="C29" s="37" t="s">
        <v>48</v>
      </c>
    </row>
    <row r="30" spans="2:5" ht="15" thickBot="1" x14ac:dyDescent="0.35"/>
    <row r="31" spans="2:5" x14ac:dyDescent="0.3">
      <c r="B31" s="12" t="s">
        <v>49</v>
      </c>
      <c r="C31" s="13"/>
    </row>
    <row r="32" spans="2:5" x14ac:dyDescent="0.3">
      <c r="B32" s="38" t="s">
        <v>50</v>
      </c>
      <c r="C32" s="15" t="s">
        <v>175</v>
      </c>
    </row>
    <row r="33" spans="2:3" x14ac:dyDescent="0.3">
      <c r="B33" s="14"/>
      <c r="C33" s="15" t="s">
        <v>51</v>
      </c>
    </row>
    <row r="34" spans="2:3" x14ac:dyDescent="0.3">
      <c r="B34" s="14"/>
      <c r="C34" s="15"/>
    </row>
    <row r="35" spans="2:3" x14ac:dyDescent="0.3">
      <c r="B35" s="38" t="s">
        <v>52</v>
      </c>
      <c r="C35" s="15" t="s">
        <v>53</v>
      </c>
    </row>
    <row r="36" spans="2:3" x14ac:dyDescent="0.3">
      <c r="B36" s="14"/>
      <c r="C36" s="15" t="s">
        <v>54</v>
      </c>
    </row>
    <row r="37" spans="2:3" x14ac:dyDescent="0.3">
      <c r="B37" s="14"/>
      <c r="C37" s="15" t="s">
        <v>169</v>
      </c>
    </row>
    <row r="38" spans="2:3" x14ac:dyDescent="0.3">
      <c r="B38" s="14"/>
      <c r="C38" s="15" t="s">
        <v>139</v>
      </c>
    </row>
    <row r="39" spans="2:3" x14ac:dyDescent="0.3">
      <c r="B39" s="14"/>
      <c r="C39" s="15" t="s">
        <v>140</v>
      </c>
    </row>
    <row r="40" spans="2:3" x14ac:dyDescent="0.3">
      <c r="B40" s="14"/>
      <c r="C40" s="15" t="s">
        <v>167</v>
      </c>
    </row>
    <row r="41" spans="2:3" x14ac:dyDescent="0.3">
      <c r="B41" s="14"/>
      <c r="C41" s="15"/>
    </row>
    <row r="42" spans="2:3" x14ac:dyDescent="0.3">
      <c r="B42" s="38" t="s">
        <v>55</v>
      </c>
      <c r="C42" s="15" t="s">
        <v>56</v>
      </c>
    </row>
    <row r="43" spans="2:3" x14ac:dyDescent="0.3">
      <c r="B43" s="38"/>
      <c r="C43" s="15" t="s">
        <v>170</v>
      </c>
    </row>
    <row r="44" spans="2:3" x14ac:dyDescent="0.3">
      <c r="B44" s="14"/>
      <c r="C44" s="15" t="s">
        <v>171</v>
      </c>
    </row>
    <row r="45" spans="2:3" x14ac:dyDescent="0.3">
      <c r="B45" s="14"/>
      <c r="C45" s="15" t="s">
        <v>57</v>
      </c>
    </row>
    <row r="46" spans="2:3" x14ac:dyDescent="0.3">
      <c r="B46" s="14"/>
      <c r="C46" s="15" t="s">
        <v>141</v>
      </c>
    </row>
    <row r="47" spans="2:3" x14ac:dyDescent="0.3">
      <c r="B47" s="14"/>
      <c r="C47" s="15" t="s">
        <v>176</v>
      </c>
    </row>
    <row r="48" spans="2:3" x14ac:dyDescent="0.3">
      <c r="B48" s="14"/>
      <c r="C48" s="15" t="s">
        <v>177</v>
      </c>
    </row>
    <row r="49" spans="2:3" x14ac:dyDescent="0.3">
      <c r="B49" s="14"/>
      <c r="C49" s="15" t="s">
        <v>142</v>
      </c>
    </row>
    <row r="50" spans="2:3" x14ac:dyDescent="0.3">
      <c r="B50" s="14"/>
      <c r="C50" s="15" t="s">
        <v>178</v>
      </c>
    </row>
    <row r="51" spans="2:3" x14ac:dyDescent="0.3">
      <c r="B51" s="14"/>
      <c r="C51" s="15"/>
    </row>
    <row r="52" spans="2:3" x14ac:dyDescent="0.3">
      <c r="B52" s="38" t="s">
        <v>58</v>
      </c>
      <c r="C52" s="15" t="s">
        <v>59</v>
      </c>
    </row>
    <row r="53" spans="2:3" x14ac:dyDescent="0.3">
      <c r="B53" s="14"/>
      <c r="C53" s="15" t="s">
        <v>60</v>
      </c>
    </row>
    <row r="54" spans="2:3" ht="15" thickBot="1" x14ac:dyDescent="0.35">
      <c r="B54" s="22"/>
      <c r="C54" s="23" t="s">
        <v>61</v>
      </c>
    </row>
  </sheetData>
  <sheetProtection algorithmName="SHA-512" hashValue="j3dW8mIopKwC/Jbw+62wYaY5p4dqqs6wlm0cz4HiiCnP+6g7guulQf/zhpxXKC3ai/FqYiEfO9jUbyGINMSmlw==" saltValue="irYqQiUsAD1o1UgUAEv4JQ==" spinCount="100000" sheet="1" objects="1" scenarios="1"/>
  <hyperlinks>
    <hyperlink ref="A1" location="INSTRUCTIONS!A1" display="Instructions" xr:uid="{24FFC328-9106-423B-ACCE-C16092E6A2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EE32-B25D-4807-91B3-9D744AE0F4F0}">
  <sheetPr>
    <tabColor rgb="FF00B050"/>
  </sheetPr>
  <dimension ref="A1:C13"/>
  <sheetViews>
    <sheetView workbookViewId="0"/>
  </sheetViews>
  <sheetFormatPr defaultColWidth="8.88671875" defaultRowHeight="14.4" x14ac:dyDescent="0.3"/>
  <cols>
    <col min="1" max="1" width="8.88671875" style="1"/>
    <col min="2" max="2" width="41" style="1" bestFit="1" customWidth="1"/>
    <col min="3" max="3" width="31.88671875" style="1" customWidth="1"/>
    <col min="4" max="16384" width="8.88671875" style="1"/>
  </cols>
  <sheetData>
    <row r="1" spans="1:3" x14ac:dyDescent="0.3">
      <c r="A1" s="54" t="s">
        <v>62</v>
      </c>
    </row>
    <row r="2" spans="1:3" s="2" customFormat="1" x14ac:dyDescent="0.3">
      <c r="A2" s="3" t="s">
        <v>63</v>
      </c>
    </row>
    <row r="4" spans="1:3" x14ac:dyDescent="0.3">
      <c r="B4" s="4" t="s">
        <v>64</v>
      </c>
    </row>
    <row r="5" spans="1:3" x14ac:dyDescent="0.3">
      <c r="B5" s="5" t="s">
        <v>65</v>
      </c>
      <c r="C5" s="25">
        <f>Inputs!$C$4</f>
        <v>0</v>
      </c>
    </row>
    <row r="7" spans="1:3" x14ac:dyDescent="0.3">
      <c r="B7" s="4" t="s">
        <v>66</v>
      </c>
    </row>
    <row r="8" spans="1:3" x14ac:dyDescent="0.3">
      <c r="B8" s="5" t="s">
        <v>52</v>
      </c>
      <c r="C8" s="25" t="str">
        <f>CALCULATIONS!$C$12</f>
        <v/>
      </c>
    </row>
    <row r="9" spans="1:3" x14ac:dyDescent="0.3">
      <c r="B9" s="5" t="s">
        <v>55</v>
      </c>
      <c r="C9" s="25" t="str">
        <f>CALCULATIONS!$C$21</f>
        <v/>
      </c>
    </row>
    <row r="10" spans="1:3" x14ac:dyDescent="0.3">
      <c r="B10" s="5" t="s">
        <v>67</v>
      </c>
      <c r="C10" s="11">
        <f>SUM(C8:C9)</f>
        <v>0</v>
      </c>
    </row>
    <row r="11" spans="1:3" x14ac:dyDescent="0.3">
      <c r="B11" s="5" t="s">
        <v>68</v>
      </c>
      <c r="C11" s="11">
        <f>C10-C5</f>
        <v>0</v>
      </c>
    </row>
    <row r="12" spans="1:3" ht="15" thickBot="1" x14ac:dyDescent="0.35"/>
    <row r="13" spans="1:3" ht="26.4" thickBot="1" x14ac:dyDescent="0.55000000000000004">
      <c r="B13" s="120" t="s">
        <v>58</v>
      </c>
      <c r="C13" s="121" t="str">
        <f>IFERROR((C11/C5),"")</f>
        <v/>
      </c>
    </row>
  </sheetData>
  <sheetProtection algorithmName="SHA-512" hashValue="yQt+Ve9m5yzY3lzKR01DfJJc69/3U/9YZfw2Poj+Q3BPBn+cPgPxm2aMiFye8g4fXNxvfr0lSWOwJzM2Ww5t7A==" saltValue="HXSrRETNNFJNtiSz3/VSXA==" spinCount="100000" sheet="1" objects="1" scenarios="1"/>
  <hyperlinks>
    <hyperlink ref="A1" location="INSTRUCTIONS!A1" display="Instructions" xr:uid="{62C979E4-113F-4F2F-ACFF-D2996DCB166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6F093-D90C-43EF-BE86-7EBE26206B23}">
  <sheetPr>
    <tabColor rgb="FF0070C0"/>
  </sheetPr>
  <dimension ref="A1:C21"/>
  <sheetViews>
    <sheetView workbookViewId="0"/>
  </sheetViews>
  <sheetFormatPr defaultColWidth="8.88671875" defaultRowHeight="14.4" x14ac:dyDescent="0.3"/>
  <cols>
    <col min="1" max="1" width="8.88671875" style="1"/>
    <col min="2" max="2" width="78.6640625" style="1" bestFit="1" customWidth="1"/>
    <col min="3" max="3" width="37.44140625" style="1" customWidth="1"/>
    <col min="4" max="16384" width="8.88671875" style="1"/>
  </cols>
  <sheetData>
    <row r="1" spans="1:3" x14ac:dyDescent="0.3">
      <c r="A1" s="54" t="s">
        <v>62</v>
      </c>
    </row>
    <row r="2" spans="1:3" s="2" customFormat="1" x14ac:dyDescent="0.3">
      <c r="A2" s="3" t="s">
        <v>69</v>
      </c>
    </row>
    <row r="3" spans="1:3" x14ac:dyDescent="0.3">
      <c r="A3" s="7" t="s">
        <v>70</v>
      </c>
    </row>
    <row r="4" spans="1:3" x14ac:dyDescent="0.3">
      <c r="A4" s="7"/>
      <c r="B4" s="1" t="s">
        <v>146</v>
      </c>
      <c r="C4" s="30">
        <f>Inputs!$C$5</f>
        <v>0</v>
      </c>
    </row>
    <row r="5" spans="1:3" x14ac:dyDescent="0.3">
      <c r="A5" s="7"/>
      <c r="B5" s="1" t="s">
        <v>71</v>
      </c>
      <c r="C5" s="30">
        <f>Inputs!$C$9</f>
        <v>0</v>
      </c>
    </row>
    <row r="6" spans="1:3" x14ac:dyDescent="0.3">
      <c r="A6" s="7"/>
      <c r="B6" s="4" t="s">
        <v>69</v>
      </c>
      <c r="C6" s="4" t="str">
        <f>IFERROR(C4/C5,"")</f>
        <v/>
      </c>
    </row>
    <row r="7" spans="1:3" x14ac:dyDescent="0.3">
      <c r="A7" s="7"/>
    </row>
    <row r="8" spans="1:3" s="2" customFormat="1" x14ac:dyDescent="0.3">
      <c r="A8" s="3" t="s">
        <v>52</v>
      </c>
    </row>
    <row r="10" spans="1:3" x14ac:dyDescent="0.3">
      <c r="B10" s="1" t="s">
        <v>72</v>
      </c>
      <c r="C10" s="11">
        <f>SUM('Survey input_Retention'!$L$14:$L$37)</f>
        <v>0</v>
      </c>
    </row>
    <row r="11" spans="1:3" x14ac:dyDescent="0.3">
      <c r="B11" s="1" t="s">
        <v>69</v>
      </c>
      <c r="C11" s="24" t="str">
        <f>$C$6</f>
        <v/>
      </c>
    </row>
    <row r="12" spans="1:3" x14ac:dyDescent="0.3">
      <c r="B12" s="4" t="s">
        <v>73</v>
      </c>
      <c r="C12" s="76" t="str">
        <f>IFERROR(C10*C11,"")</f>
        <v/>
      </c>
    </row>
    <row r="14" spans="1:3" s="2" customFormat="1" x14ac:dyDescent="0.3">
      <c r="A14" s="3" t="s">
        <v>55</v>
      </c>
    </row>
    <row r="16" spans="1:3" x14ac:dyDescent="0.3">
      <c r="B16" s="1" t="s">
        <v>74</v>
      </c>
      <c r="C16" s="11">
        <f>SUM('Survey input_Productivity_A'!$M$15:$M$86)</f>
        <v>0</v>
      </c>
    </row>
    <row r="17" spans="2:3" x14ac:dyDescent="0.3">
      <c r="B17" s="1" t="s">
        <v>180</v>
      </c>
      <c r="C17" s="11">
        <f>SUM('Survey input_Productivity_B'!$M$16:$M$87)</f>
        <v>0</v>
      </c>
    </row>
    <row r="18" spans="2:3" x14ac:dyDescent="0.3">
      <c r="B18" s="1" t="s">
        <v>179</v>
      </c>
      <c r="C18" s="11">
        <f>SUM(C16:C17)</f>
        <v>0</v>
      </c>
    </row>
    <row r="19" spans="2:3" x14ac:dyDescent="0.3">
      <c r="B19" s="1" t="s">
        <v>75</v>
      </c>
      <c r="C19" s="11">
        <f>C18*Assumptions!$C$36</f>
        <v>0</v>
      </c>
    </row>
    <row r="20" spans="2:3" x14ac:dyDescent="0.3">
      <c r="B20" s="1" t="s">
        <v>69</v>
      </c>
      <c r="C20" s="24" t="str">
        <f>$C$6</f>
        <v/>
      </c>
    </row>
    <row r="21" spans="2:3" x14ac:dyDescent="0.3">
      <c r="B21" s="4" t="s">
        <v>76</v>
      </c>
      <c r="C21" s="76" t="str">
        <f>IFERROR(C19*C20,"")</f>
        <v/>
      </c>
    </row>
  </sheetData>
  <sheetProtection algorithmName="SHA-512" hashValue="kihgkUwartfYUGXMEFZbMjZZDQfTR473RB5NEfrBO0QZdmYtGg1K+BaFhLbuzYTMECj5SH2zRPkduXiH2JAOtA==" saltValue="HHM+tSjYhbwScmcoUVCaog==" spinCount="100000" sheet="1" objects="1" scenarios="1"/>
  <hyperlinks>
    <hyperlink ref="A1" location="INSTRUCTIONS!A1" display="Instructions" xr:uid="{31024DAA-E887-4599-8F3D-209B05BF847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ADE58-B396-422E-B975-2F9611A2CFD4}">
  <sheetPr>
    <tabColor rgb="FFFFFF00"/>
  </sheetPr>
  <dimension ref="A1"/>
  <sheetViews>
    <sheetView showGridLines="0"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41F1F-52FE-4156-9329-895094EC30DD}">
  <dimension ref="A1:D37"/>
  <sheetViews>
    <sheetView workbookViewId="0">
      <selection activeCell="A8" sqref="A8"/>
    </sheetView>
  </sheetViews>
  <sheetFormatPr defaultColWidth="8.88671875" defaultRowHeight="14.4" x14ac:dyDescent="0.3"/>
  <cols>
    <col min="1" max="1" width="8.88671875" style="1"/>
    <col min="2" max="2" width="48.5546875" style="1" bestFit="1" customWidth="1"/>
    <col min="3" max="3" width="12.33203125" style="1" bestFit="1" customWidth="1"/>
    <col min="4" max="16384" width="8.88671875" style="1"/>
  </cols>
  <sheetData>
    <row r="1" spans="1:4" x14ac:dyDescent="0.3">
      <c r="A1" s="54" t="s">
        <v>62</v>
      </c>
    </row>
    <row r="2" spans="1:4" s="2" customFormat="1" x14ac:dyDescent="0.3">
      <c r="A2" s="3" t="s">
        <v>33</v>
      </c>
    </row>
    <row r="3" spans="1:4" x14ac:dyDescent="0.3">
      <c r="A3" s="7"/>
    </row>
    <row r="4" spans="1:4" x14ac:dyDescent="0.3">
      <c r="B4" s="4" t="s">
        <v>77</v>
      </c>
      <c r="C4" s="4"/>
      <c r="D4" s="4"/>
    </row>
    <row r="5" spans="1:4" x14ac:dyDescent="0.3">
      <c r="B5" s="6" t="s">
        <v>78</v>
      </c>
      <c r="C5" s="4"/>
      <c r="D5" s="4"/>
    </row>
    <row r="6" spans="1:4" x14ac:dyDescent="0.3">
      <c r="B6" s="5" t="s">
        <v>79</v>
      </c>
      <c r="C6" s="83">
        <v>260</v>
      </c>
      <c r="D6" s="6"/>
    </row>
    <row r="7" spans="1:4" x14ac:dyDescent="0.3">
      <c r="B7" s="5" t="s">
        <v>80</v>
      </c>
      <c r="C7" s="83">
        <v>8</v>
      </c>
      <c r="D7" s="6"/>
    </row>
    <row r="8" spans="1:4" x14ac:dyDescent="0.3">
      <c r="B8" s="5" t="s">
        <v>81</v>
      </c>
      <c r="C8" s="1">
        <f>C6*C7</f>
        <v>2080</v>
      </c>
    </row>
    <row r="10" spans="1:4" x14ac:dyDescent="0.3">
      <c r="B10" s="4" t="s">
        <v>82</v>
      </c>
    </row>
    <row r="11" spans="1:4" x14ac:dyDescent="0.3">
      <c r="B11" s="6" t="s">
        <v>144</v>
      </c>
    </row>
    <row r="12" spans="1:4" x14ac:dyDescent="0.3">
      <c r="B12" s="5" t="s">
        <v>83</v>
      </c>
      <c r="C12" s="8">
        <v>0.2</v>
      </c>
    </row>
    <row r="13" spans="1:4" x14ac:dyDescent="0.3">
      <c r="B13" s="5" t="s">
        <v>84</v>
      </c>
      <c r="C13" s="8">
        <v>0.75</v>
      </c>
    </row>
    <row r="14" spans="1:4" x14ac:dyDescent="0.3">
      <c r="B14" s="5" t="s">
        <v>85</v>
      </c>
      <c r="C14" s="8">
        <v>1.5</v>
      </c>
    </row>
    <row r="15" spans="1:4" x14ac:dyDescent="0.3">
      <c r="B15" s="5" t="s">
        <v>86</v>
      </c>
      <c r="C15" s="8">
        <v>2</v>
      </c>
    </row>
    <row r="16" spans="1:4" x14ac:dyDescent="0.3">
      <c r="B16" s="5"/>
      <c r="C16" s="8"/>
    </row>
    <row r="17" spans="2:3" x14ac:dyDescent="0.3">
      <c r="B17" s="10" t="s">
        <v>87</v>
      </c>
      <c r="C17" s="8"/>
    </row>
    <row r="18" spans="2:3" x14ac:dyDescent="0.3">
      <c r="B18" s="42" t="s">
        <v>143</v>
      </c>
      <c r="C18" s="8"/>
    </row>
    <row r="19" spans="2:3" x14ac:dyDescent="0.3">
      <c r="B19" s="84" t="s">
        <v>88</v>
      </c>
      <c r="C19" s="85">
        <v>15000</v>
      </c>
    </row>
    <row r="20" spans="2:3" x14ac:dyDescent="0.3">
      <c r="B20" s="84" t="s">
        <v>89</v>
      </c>
      <c r="C20" s="85">
        <v>45000</v>
      </c>
    </row>
    <row r="21" spans="2:3" x14ac:dyDescent="0.3">
      <c r="B21" s="84" t="s">
        <v>90</v>
      </c>
      <c r="C21" s="85">
        <v>75000</v>
      </c>
    </row>
    <row r="22" spans="2:3" x14ac:dyDescent="0.3">
      <c r="B22" s="84" t="s">
        <v>91</v>
      </c>
      <c r="C22" s="85">
        <v>105000</v>
      </c>
    </row>
    <row r="23" spans="2:3" x14ac:dyDescent="0.3">
      <c r="B23" s="84" t="s">
        <v>92</v>
      </c>
      <c r="C23" s="85">
        <v>135000</v>
      </c>
    </row>
    <row r="24" spans="2:3" x14ac:dyDescent="0.3">
      <c r="B24" s="84" t="s">
        <v>93</v>
      </c>
      <c r="C24" s="85">
        <v>150000</v>
      </c>
    </row>
    <row r="25" spans="2:3" x14ac:dyDescent="0.3">
      <c r="B25" s="5"/>
      <c r="C25" s="9"/>
    </row>
    <row r="26" spans="2:3" x14ac:dyDescent="0.3">
      <c r="B26" s="10" t="s">
        <v>94</v>
      </c>
      <c r="C26" s="9"/>
    </row>
    <row r="27" spans="2:3" x14ac:dyDescent="0.3">
      <c r="B27" s="42" t="s">
        <v>95</v>
      </c>
      <c r="C27" s="9"/>
    </row>
    <row r="28" spans="2:3" x14ac:dyDescent="0.3">
      <c r="B28" s="5" t="s">
        <v>96</v>
      </c>
      <c r="C28" s="8">
        <v>0</v>
      </c>
    </row>
    <row r="29" spans="2:3" x14ac:dyDescent="0.3">
      <c r="B29" s="5" t="s">
        <v>97</v>
      </c>
      <c r="C29" s="8">
        <v>1.5</v>
      </c>
    </row>
    <row r="30" spans="2:3" x14ac:dyDescent="0.3">
      <c r="B30" s="5" t="s">
        <v>98</v>
      </c>
      <c r="C30" s="8">
        <v>3.5</v>
      </c>
    </row>
    <row r="31" spans="2:3" x14ac:dyDescent="0.3">
      <c r="B31" s="5" t="s">
        <v>99</v>
      </c>
      <c r="C31" s="8">
        <v>5.5</v>
      </c>
    </row>
    <row r="32" spans="2:3" x14ac:dyDescent="0.3">
      <c r="B32" s="5" t="s">
        <v>100</v>
      </c>
      <c r="C32" s="8">
        <v>7.5</v>
      </c>
    </row>
    <row r="33" spans="2:3" x14ac:dyDescent="0.3">
      <c r="B33" s="5" t="s">
        <v>101</v>
      </c>
      <c r="C33" s="8">
        <v>9.5</v>
      </c>
    </row>
    <row r="34" spans="2:3" x14ac:dyDescent="0.3">
      <c r="B34" s="5" t="s">
        <v>102</v>
      </c>
      <c r="C34" s="8">
        <v>10</v>
      </c>
    </row>
    <row r="36" spans="2:3" x14ac:dyDescent="0.3">
      <c r="B36" s="4" t="s">
        <v>181</v>
      </c>
      <c r="C36" s="8">
        <v>4</v>
      </c>
    </row>
    <row r="37" spans="2:3" x14ac:dyDescent="0.3">
      <c r="B37" s="6" t="s">
        <v>103</v>
      </c>
    </row>
  </sheetData>
  <sheetProtection algorithmName="SHA-512" hashValue="CDwvFj9CFLgnZdX0k2h8t88EHw9zIqnddJrsWqiTGb5kKet63LgfQoNHysEIG0psg08G6Im0KOPuk49FEL5U4g==" saltValue="HBxvtU66VG5sXaFfjsZBBQ==" spinCount="100000" sheet="1" objects="1" scenarios="1"/>
  <hyperlinks>
    <hyperlink ref="A1" location="INSTRUCTIONS!A1" display="Instructions" xr:uid="{FD44CCBD-6A15-4B20-BCC9-0A91460BDF1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913EE-1966-4057-B987-08F1A2BAD130}">
  <dimension ref="A1:D23"/>
  <sheetViews>
    <sheetView zoomScaleNormal="100" workbookViewId="0">
      <selection activeCell="A3" sqref="A3"/>
    </sheetView>
  </sheetViews>
  <sheetFormatPr defaultColWidth="8.88671875" defaultRowHeight="14.4" x14ac:dyDescent="0.3"/>
  <cols>
    <col min="1" max="1" width="8.88671875" style="1"/>
    <col min="2" max="2" width="113.5546875" style="1" customWidth="1"/>
    <col min="3" max="3" width="51.5546875" style="1" bestFit="1" customWidth="1"/>
    <col min="4" max="4" width="16.33203125" style="1" customWidth="1"/>
    <col min="5" max="16384" width="8.88671875" style="1"/>
  </cols>
  <sheetData>
    <row r="1" spans="1:4" x14ac:dyDescent="0.3">
      <c r="A1" s="54" t="s">
        <v>62</v>
      </c>
    </row>
    <row r="2" spans="1:4" s="28" customFormat="1" x14ac:dyDescent="0.3">
      <c r="A2" s="3" t="s">
        <v>136</v>
      </c>
    </row>
    <row r="3" spans="1:4" x14ac:dyDescent="0.3">
      <c r="D3" s="6"/>
    </row>
    <row r="4" spans="1:4" x14ac:dyDescent="0.3">
      <c r="B4" s="1" t="s">
        <v>104</v>
      </c>
      <c r="C4" s="86"/>
      <c r="D4" s="6" t="s">
        <v>105</v>
      </c>
    </row>
    <row r="5" spans="1:4" x14ac:dyDescent="0.3">
      <c r="B5" s="1" t="s">
        <v>146</v>
      </c>
      <c r="C5" s="87"/>
      <c r="D5" s="6" t="s">
        <v>147</v>
      </c>
    </row>
    <row r="7" spans="1:4" s="28" customFormat="1" x14ac:dyDescent="0.3">
      <c r="A7" s="3" t="s">
        <v>106</v>
      </c>
    </row>
    <row r="9" spans="1:4" x14ac:dyDescent="0.3">
      <c r="B9" s="1" t="s">
        <v>150</v>
      </c>
      <c r="C9" s="87"/>
      <c r="D9" s="6" t="s">
        <v>151</v>
      </c>
    </row>
    <row r="10" spans="1:4" x14ac:dyDescent="0.3">
      <c r="C10" s="31"/>
      <c r="D10" s="6"/>
    </row>
    <row r="11" spans="1:4" x14ac:dyDescent="0.3">
      <c r="B11" s="33" t="s">
        <v>168</v>
      </c>
      <c r="C11" s="31"/>
    </row>
    <row r="12" spans="1:4" x14ac:dyDescent="0.3">
      <c r="B12" s="32" t="s">
        <v>107</v>
      </c>
    </row>
    <row r="13" spans="1:4" x14ac:dyDescent="0.3">
      <c r="B13" s="34" t="s">
        <v>108</v>
      </c>
      <c r="C13" s="35" t="s">
        <v>109</v>
      </c>
    </row>
    <row r="14" spans="1:4" x14ac:dyDescent="0.3">
      <c r="B14" s="32"/>
    </row>
    <row r="15" spans="1:4" x14ac:dyDescent="0.3">
      <c r="B15" s="4" t="s">
        <v>152</v>
      </c>
    </row>
    <row r="16" spans="1:4" x14ac:dyDescent="0.3">
      <c r="B16" s="5" t="s">
        <v>107</v>
      </c>
    </row>
    <row r="17" spans="2:4" x14ac:dyDescent="0.3">
      <c r="B17" s="34" t="s">
        <v>108</v>
      </c>
      <c r="C17" s="35" t="s">
        <v>109</v>
      </c>
      <c r="D17" s="6"/>
    </row>
    <row r="18" spans="2:4" x14ac:dyDescent="0.3">
      <c r="B18" s="32"/>
    </row>
    <row r="19" spans="2:4" x14ac:dyDescent="0.3">
      <c r="B19" s="32"/>
    </row>
    <row r="20" spans="2:4" x14ac:dyDescent="0.3">
      <c r="B20" s="32"/>
    </row>
    <row r="21" spans="2:4" x14ac:dyDescent="0.3">
      <c r="B21" s="32"/>
    </row>
    <row r="22" spans="2:4" x14ac:dyDescent="0.3">
      <c r="B22" s="32"/>
    </row>
    <row r="23" spans="2:4" x14ac:dyDescent="0.3">
      <c r="B23" s="32"/>
    </row>
  </sheetData>
  <sheetProtection algorithmName="SHA-512" hashValue="eapDjO1/vH7pDadfh+wN6RK05H2owA8tvA709TXje8syF3hxkdMBiL49nWUxEHDIuzCg3lSruIe+pdnb0iUWhw==" saltValue="rzjS7vPPgN46J6SHrSR7Wg==" spinCount="100000" sheet="1" objects="1" scenarios="1"/>
  <hyperlinks>
    <hyperlink ref="A1" location="INSTRUCTIONS!A1" display="Instructions" xr:uid="{1057838B-E8DB-4232-8A96-30DFAA12887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EFF28-00C8-4B8F-BCAF-3BF93A09BD2F}">
  <dimension ref="A1:L37"/>
  <sheetViews>
    <sheetView tabSelected="1" zoomScale="90" zoomScaleNormal="90" workbookViewId="0">
      <selection activeCell="B14" sqref="B14"/>
    </sheetView>
  </sheetViews>
  <sheetFormatPr defaultRowHeight="14.4" x14ac:dyDescent="0.3"/>
  <cols>
    <col min="1" max="1" width="14.33203125" style="1" customWidth="1"/>
    <col min="2" max="6" width="80.77734375" style="1" customWidth="1"/>
    <col min="7" max="7" width="3.44140625" style="1" customWidth="1"/>
    <col min="8" max="8" width="34" style="1" customWidth="1"/>
    <col min="9" max="9" width="36.33203125" style="1" customWidth="1"/>
    <col min="10" max="10" width="3" style="1" customWidth="1"/>
    <col min="11" max="11" width="40.77734375" style="1" bestFit="1" customWidth="1"/>
    <col min="12" max="12" width="29.44140625" style="1" bestFit="1" customWidth="1"/>
    <col min="13" max="16383" width="8.88671875" style="1"/>
    <col min="16384" max="16384" width="8.88671875" style="1" bestFit="1"/>
  </cols>
  <sheetData>
    <row r="1" spans="1:12" x14ac:dyDescent="0.3">
      <c r="A1" s="54" t="s">
        <v>62</v>
      </c>
    </row>
    <row r="2" spans="1:12" s="2" customFormat="1" x14ac:dyDescent="0.3">
      <c r="A2" s="3" t="s">
        <v>145</v>
      </c>
    </row>
    <row r="3" spans="1:12" x14ac:dyDescent="0.3">
      <c r="A3" s="29"/>
    </row>
    <row r="4" spans="1:12" x14ac:dyDescent="0.3">
      <c r="A4" s="7"/>
      <c r="B4" s="6" t="s">
        <v>110</v>
      </c>
    </row>
    <row r="5" spans="1:12" x14ac:dyDescent="0.3">
      <c r="A5" s="7"/>
      <c r="B5" s="43" t="s">
        <v>154</v>
      </c>
    </row>
    <row r="6" spans="1:12" x14ac:dyDescent="0.3">
      <c r="A6" s="7"/>
      <c r="B6" s="44" t="s">
        <v>111</v>
      </c>
    </row>
    <row r="7" spans="1:12" x14ac:dyDescent="0.3">
      <c r="A7" s="7"/>
      <c r="B7" s="45" t="s">
        <v>112</v>
      </c>
    </row>
    <row r="8" spans="1:12" x14ac:dyDescent="0.3">
      <c r="A8" s="7"/>
      <c r="B8" s="46" t="s">
        <v>182</v>
      </c>
    </row>
    <row r="9" spans="1:12" x14ac:dyDescent="0.3">
      <c r="A9" s="7"/>
    </row>
    <row r="10" spans="1:12" x14ac:dyDescent="0.3">
      <c r="A10" s="7"/>
      <c r="B10" s="6" t="s">
        <v>172</v>
      </c>
    </row>
    <row r="11" spans="1:12" ht="15" thickBot="1" x14ac:dyDescent="0.35">
      <c r="A11" s="7"/>
    </row>
    <row r="12" spans="1:12" ht="23.4" x14ac:dyDescent="0.45">
      <c r="A12" s="7"/>
      <c r="B12" s="122" t="s">
        <v>153</v>
      </c>
      <c r="C12" s="63" t="s">
        <v>160</v>
      </c>
      <c r="D12" s="64"/>
      <c r="E12" s="64"/>
      <c r="F12" s="65"/>
      <c r="G12" s="4"/>
      <c r="H12" s="88" t="s">
        <v>113</v>
      </c>
      <c r="I12" s="89"/>
      <c r="K12" s="96" t="s">
        <v>30</v>
      </c>
      <c r="L12" s="97"/>
    </row>
    <row r="13" spans="1:12" ht="46.8" customHeight="1" x14ac:dyDescent="0.3">
      <c r="B13" s="126" t="s">
        <v>155</v>
      </c>
      <c r="C13" s="123" t="s">
        <v>157</v>
      </c>
      <c r="D13" s="124" t="s">
        <v>158</v>
      </c>
      <c r="E13" s="124" t="s">
        <v>159</v>
      </c>
      <c r="F13" s="125" t="s">
        <v>148</v>
      </c>
      <c r="H13" s="103" t="s">
        <v>114</v>
      </c>
      <c r="I13" s="104" t="s">
        <v>115</v>
      </c>
      <c r="K13" s="101" t="s">
        <v>116</v>
      </c>
      <c r="L13" s="102" t="s">
        <v>73</v>
      </c>
    </row>
    <row r="14" spans="1:12" x14ac:dyDescent="0.3">
      <c r="B14" s="105"/>
      <c r="C14" s="47" t="s">
        <v>83</v>
      </c>
      <c r="D14" s="61" t="str">
        <f>Assumptions!$B$19</f>
        <v>$0 - $30,000</v>
      </c>
      <c r="E14" s="48" t="s">
        <v>117</v>
      </c>
      <c r="F14" s="67" t="s">
        <v>117</v>
      </c>
      <c r="H14" s="90">
        <f>_xlfn.XLOOKUP(C14,Assumptions!$B$12:$B$15,Assumptions!$C$12:$C$15)</f>
        <v>0.2</v>
      </c>
      <c r="I14" s="91">
        <f>_xlfn.XLOOKUP(D14,Assumptions!$B$19:$B$24,Assumptions!$C$19:$C$24)</f>
        <v>15000</v>
      </c>
      <c r="K14" s="98">
        <f t="shared" ref="K14:K37" si="0">H14*I14</f>
        <v>3000</v>
      </c>
      <c r="L14" s="91">
        <f t="shared" ref="L14:L37" si="1">B14*K14</f>
        <v>0</v>
      </c>
    </row>
    <row r="15" spans="1:12" x14ac:dyDescent="0.3">
      <c r="B15" s="105"/>
      <c r="C15" s="49" t="s">
        <v>83</v>
      </c>
      <c r="D15" s="61" t="str">
        <f>Assumptions!$B$20</f>
        <v>$30,001 - $60,000</v>
      </c>
      <c r="E15" s="50" t="s">
        <v>117</v>
      </c>
      <c r="F15" s="68" t="s">
        <v>117</v>
      </c>
      <c r="H15" s="92">
        <f>_xlfn.XLOOKUP(C15,Assumptions!$B$12:$B$15,Assumptions!$C$12:$C$15)</f>
        <v>0.2</v>
      </c>
      <c r="I15" s="93">
        <f>_xlfn.XLOOKUP(D15,Assumptions!$B$19:$B$24,Assumptions!$C$19:$C$24)</f>
        <v>45000</v>
      </c>
      <c r="K15" s="99">
        <f t="shared" si="0"/>
        <v>9000</v>
      </c>
      <c r="L15" s="93">
        <f t="shared" si="1"/>
        <v>0</v>
      </c>
    </row>
    <row r="16" spans="1:12" x14ac:dyDescent="0.3">
      <c r="B16" s="105"/>
      <c r="C16" s="49" t="s">
        <v>83</v>
      </c>
      <c r="D16" s="61" t="str">
        <f>Assumptions!$B$21</f>
        <v>$60,001 - $90,000</v>
      </c>
      <c r="E16" s="50" t="s">
        <v>117</v>
      </c>
      <c r="F16" s="68" t="s">
        <v>117</v>
      </c>
      <c r="H16" s="92">
        <f>_xlfn.XLOOKUP(C16,Assumptions!$B$12:$B$15,Assumptions!$C$12:$C$15)</f>
        <v>0.2</v>
      </c>
      <c r="I16" s="93">
        <f>_xlfn.XLOOKUP(D16,Assumptions!$B$19:$B$24,Assumptions!$C$19:$C$24)</f>
        <v>75000</v>
      </c>
      <c r="K16" s="98">
        <f t="shared" si="0"/>
        <v>15000</v>
      </c>
      <c r="L16" s="91">
        <f t="shared" si="1"/>
        <v>0</v>
      </c>
    </row>
    <row r="17" spans="2:12" x14ac:dyDescent="0.3">
      <c r="B17" s="105"/>
      <c r="C17" s="49" t="s">
        <v>83</v>
      </c>
      <c r="D17" s="61" t="str">
        <f>Assumptions!$B$22</f>
        <v>$90,001 - $120,000</v>
      </c>
      <c r="E17" s="50" t="s">
        <v>117</v>
      </c>
      <c r="F17" s="68" t="s">
        <v>117</v>
      </c>
      <c r="H17" s="90">
        <f>_xlfn.XLOOKUP(C17,Assumptions!$B$12:$B$15,Assumptions!$C$12:$C$15)</f>
        <v>0.2</v>
      </c>
      <c r="I17" s="91">
        <f>_xlfn.XLOOKUP(D17,Assumptions!$B$19:$B$24,Assumptions!$C$19:$C$24)</f>
        <v>105000</v>
      </c>
      <c r="K17" s="99">
        <f t="shared" si="0"/>
        <v>21000</v>
      </c>
      <c r="L17" s="93">
        <f t="shared" si="1"/>
        <v>0</v>
      </c>
    </row>
    <row r="18" spans="2:12" x14ac:dyDescent="0.3">
      <c r="B18" s="105"/>
      <c r="C18" s="49" t="s">
        <v>83</v>
      </c>
      <c r="D18" s="61" t="str">
        <f>Assumptions!$B$23</f>
        <v>$120,001 - $150,000</v>
      </c>
      <c r="E18" s="50" t="s">
        <v>117</v>
      </c>
      <c r="F18" s="68" t="s">
        <v>117</v>
      </c>
      <c r="H18" s="92">
        <f>_xlfn.XLOOKUP(C18,Assumptions!$B$12:$B$15,Assumptions!$C$12:$C$15)</f>
        <v>0.2</v>
      </c>
      <c r="I18" s="93">
        <f>_xlfn.XLOOKUP(D18,Assumptions!$B$19:$B$24,Assumptions!$C$19:$C$24)</f>
        <v>135000</v>
      </c>
      <c r="K18" s="98">
        <f t="shared" si="0"/>
        <v>27000</v>
      </c>
      <c r="L18" s="91">
        <f t="shared" si="1"/>
        <v>0</v>
      </c>
    </row>
    <row r="19" spans="2:12" x14ac:dyDescent="0.3">
      <c r="B19" s="105"/>
      <c r="C19" s="49" t="s">
        <v>83</v>
      </c>
      <c r="D19" s="61" t="str">
        <f>Assumptions!$B$24</f>
        <v>$150,000+</v>
      </c>
      <c r="E19" s="50" t="s">
        <v>117</v>
      </c>
      <c r="F19" s="68" t="s">
        <v>117</v>
      </c>
      <c r="H19" s="92">
        <f>_xlfn.XLOOKUP(C19,Assumptions!$B$12:$B$15,Assumptions!$C$12:$C$15)</f>
        <v>0.2</v>
      </c>
      <c r="I19" s="93">
        <f>_xlfn.XLOOKUP(D19,Assumptions!$B$19:$B$24,Assumptions!$C$19:$C$24)</f>
        <v>150000</v>
      </c>
      <c r="K19" s="99">
        <f t="shared" si="0"/>
        <v>30000</v>
      </c>
      <c r="L19" s="93">
        <f t="shared" si="1"/>
        <v>0</v>
      </c>
    </row>
    <row r="20" spans="2:12" x14ac:dyDescent="0.3">
      <c r="B20" s="105"/>
      <c r="C20" s="49" t="s">
        <v>84</v>
      </c>
      <c r="D20" s="61" t="str">
        <f>Assumptions!$B$19</f>
        <v>$0 - $30,000</v>
      </c>
      <c r="E20" s="50" t="s">
        <v>117</v>
      </c>
      <c r="F20" s="68" t="s">
        <v>117</v>
      </c>
      <c r="H20" s="90">
        <f>_xlfn.XLOOKUP(C20,Assumptions!$B$12:$B$15,Assumptions!$C$12:$C$15)</f>
        <v>0.75</v>
      </c>
      <c r="I20" s="91">
        <f>_xlfn.XLOOKUP(D20,Assumptions!$B$19:$B$24,Assumptions!$C$19:$C$24)</f>
        <v>15000</v>
      </c>
      <c r="K20" s="98">
        <f t="shared" si="0"/>
        <v>11250</v>
      </c>
      <c r="L20" s="91">
        <f t="shared" si="1"/>
        <v>0</v>
      </c>
    </row>
    <row r="21" spans="2:12" x14ac:dyDescent="0.3">
      <c r="B21" s="105"/>
      <c r="C21" s="49" t="s">
        <v>84</v>
      </c>
      <c r="D21" s="61" t="str">
        <f>Assumptions!$B$20</f>
        <v>$30,001 - $60,000</v>
      </c>
      <c r="E21" s="50" t="s">
        <v>117</v>
      </c>
      <c r="F21" s="68" t="s">
        <v>117</v>
      </c>
      <c r="H21" s="92">
        <f>_xlfn.XLOOKUP(C21,Assumptions!$B$12:$B$15,Assumptions!$C$12:$C$15)</f>
        <v>0.75</v>
      </c>
      <c r="I21" s="93">
        <f>_xlfn.XLOOKUP(D21,Assumptions!$B$19:$B$24,Assumptions!$C$19:$C$24)</f>
        <v>45000</v>
      </c>
      <c r="K21" s="99">
        <f t="shared" si="0"/>
        <v>33750</v>
      </c>
      <c r="L21" s="93">
        <f t="shared" si="1"/>
        <v>0</v>
      </c>
    </row>
    <row r="22" spans="2:12" x14ac:dyDescent="0.3">
      <c r="B22" s="105"/>
      <c r="C22" s="49" t="s">
        <v>84</v>
      </c>
      <c r="D22" s="61" t="str">
        <f>Assumptions!$B$21</f>
        <v>$60,001 - $90,000</v>
      </c>
      <c r="E22" s="50" t="s">
        <v>117</v>
      </c>
      <c r="F22" s="68" t="s">
        <v>117</v>
      </c>
      <c r="H22" s="92">
        <f>_xlfn.XLOOKUP(C22,Assumptions!$B$12:$B$15,Assumptions!$C$12:$C$15)</f>
        <v>0.75</v>
      </c>
      <c r="I22" s="93">
        <f>_xlfn.XLOOKUP(D22,Assumptions!$B$19:$B$24,Assumptions!$C$19:$C$24)</f>
        <v>75000</v>
      </c>
      <c r="K22" s="98">
        <f t="shared" si="0"/>
        <v>56250</v>
      </c>
      <c r="L22" s="91">
        <f t="shared" si="1"/>
        <v>0</v>
      </c>
    </row>
    <row r="23" spans="2:12" x14ac:dyDescent="0.3">
      <c r="B23" s="105"/>
      <c r="C23" s="49" t="s">
        <v>84</v>
      </c>
      <c r="D23" s="61" t="str">
        <f>Assumptions!$B$22</f>
        <v>$90,001 - $120,000</v>
      </c>
      <c r="E23" s="50" t="s">
        <v>117</v>
      </c>
      <c r="F23" s="68" t="s">
        <v>117</v>
      </c>
      <c r="H23" s="90">
        <f>_xlfn.XLOOKUP(C23,Assumptions!$B$12:$B$15,Assumptions!$C$12:$C$15)</f>
        <v>0.75</v>
      </c>
      <c r="I23" s="91">
        <f>_xlfn.XLOOKUP(D23,Assumptions!$B$19:$B$24,Assumptions!$C$19:$C$24)</f>
        <v>105000</v>
      </c>
      <c r="K23" s="99">
        <f t="shared" si="0"/>
        <v>78750</v>
      </c>
      <c r="L23" s="93">
        <f t="shared" si="1"/>
        <v>0</v>
      </c>
    </row>
    <row r="24" spans="2:12" x14ac:dyDescent="0.3">
      <c r="B24" s="105"/>
      <c r="C24" s="49" t="s">
        <v>84</v>
      </c>
      <c r="D24" s="61" t="str">
        <f>Assumptions!$B$23</f>
        <v>$120,001 - $150,000</v>
      </c>
      <c r="E24" s="50" t="s">
        <v>117</v>
      </c>
      <c r="F24" s="68" t="s">
        <v>117</v>
      </c>
      <c r="H24" s="92">
        <f>_xlfn.XLOOKUP(C24,Assumptions!$B$12:$B$15,Assumptions!$C$12:$C$15)</f>
        <v>0.75</v>
      </c>
      <c r="I24" s="93">
        <f>_xlfn.XLOOKUP(D24,Assumptions!$B$19:$B$24,Assumptions!$C$19:$C$24)</f>
        <v>135000</v>
      </c>
      <c r="K24" s="98">
        <f t="shared" si="0"/>
        <v>101250</v>
      </c>
      <c r="L24" s="91">
        <f t="shared" si="1"/>
        <v>0</v>
      </c>
    </row>
    <row r="25" spans="2:12" x14ac:dyDescent="0.3">
      <c r="B25" s="105"/>
      <c r="C25" s="49" t="s">
        <v>84</v>
      </c>
      <c r="D25" s="61" t="str">
        <f>Assumptions!$B$24</f>
        <v>$150,000+</v>
      </c>
      <c r="E25" s="50" t="s">
        <v>117</v>
      </c>
      <c r="F25" s="68" t="s">
        <v>117</v>
      </c>
      <c r="H25" s="92">
        <f>_xlfn.XLOOKUP(C25,Assumptions!$B$12:$B$15,Assumptions!$C$12:$C$15)</f>
        <v>0.75</v>
      </c>
      <c r="I25" s="93">
        <f>_xlfn.XLOOKUP(D25,Assumptions!$B$19:$B$24,Assumptions!$C$19:$C$24)</f>
        <v>150000</v>
      </c>
      <c r="K25" s="99">
        <f t="shared" si="0"/>
        <v>112500</v>
      </c>
      <c r="L25" s="93">
        <f t="shared" si="1"/>
        <v>0</v>
      </c>
    </row>
    <row r="26" spans="2:12" x14ac:dyDescent="0.3">
      <c r="B26" s="105"/>
      <c r="C26" s="49" t="s">
        <v>85</v>
      </c>
      <c r="D26" s="61" t="str">
        <f>Assumptions!$B$19</f>
        <v>$0 - $30,000</v>
      </c>
      <c r="E26" s="50" t="s">
        <v>117</v>
      </c>
      <c r="F26" s="68" t="s">
        <v>117</v>
      </c>
      <c r="H26" s="90">
        <f>_xlfn.XLOOKUP(C26,Assumptions!$B$12:$B$15,Assumptions!$C$12:$C$15)</f>
        <v>1.5</v>
      </c>
      <c r="I26" s="91">
        <f>_xlfn.XLOOKUP(D26,Assumptions!$B$19:$B$24,Assumptions!$C$19:$C$24)</f>
        <v>15000</v>
      </c>
      <c r="K26" s="98">
        <f t="shared" si="0"/>
        <v>22500</v>
      </c>
      <c r="L26" s="91">
        <f t="shared" si="1"/>
        <v>0</v>
      </c>
    </row>
    <row r="27" spans="2:12" x14ac:dyDescent="0.3">
      <c r="B27" s="105"/>
      <c r="C27" s="49" t="s">
        <v>85</v>
      </c>
      <c r="D27" s="61" t="str">
        <f>Assumptions!$B$20</f>
        <v>$30,001 - $60,000</v>
      </c>
      <c r="E27" s="50" t="s">
        <v>117</v>
      </c>
      <c r="F27" s="68" t="s">
        <v>117</v>
      </c>
      <c r="H27" s="92">
        <f>_xlfn.XLOOKUP(C27,Assumptions!$B$12:$B$15,Assumptions!$C$12:$C$15)</f>
        <v>1.5</v>
      </c>
      <c r="I27" s="93">
        <f>_xlfn.XLOOKUP(D27,Assumptions!$B$19:$B$24,Assumptions!$C$19:$C$24)</f>
        <v>45000</v>
      </c>
      <c r="K27" s="99">
        <f t="shared" si="0"/>
        <v>67500</v>
      </c>
      <c r="L27" s="93">
        <f t="shared" si="1"/>
        <v>0</v>
      </c>
    </row>
    <row r="28" spans="2:12" x14ac:dyDescent="0.3">
      <c r="B28" s="105"/>
      <c r="C28" s="49" t="s">
        <v>85</v>
      </c>
      <c r="D28" s="61" t="str">
        <f>Assumptions!$B$21</f>
        <v>$60,001 - $90,000</v>
      </c>
      <c r="E28" s="50" t="s">
        <v>117</v>
      </c>
      <c r="F28" s="68" t="s">
        <v>117</v>
      </c>
      <c r="H28" s="92">
        <f>_xlfn.XLOOKUP(C28,Assumptions!$B$12:$B$15,Assumptions!$C$12:$C$15)</f>
        <v>1.5</v>
      </c>
      <c r="I28" s="93">
        <f>_xlfn.XLOOKUP(D28,Assumptions!$B$19:$B$24,Assumptions!$C$19:$C$24)</f>
        <v>75000</v>
      </c>
      <c r="K28" s="98">
        <f t="shared" si="0"/>
        <v>112500</v>
      </c>
      <c r="L28" s="91">
        <f t="shared" si="1"/>
        <v>0</v>
      </c>
    </row>
    <row r="29" spans="2:12" x14ac:dyDescent="0.3">
      <c r="B29" s="105"/>
      <c r="C29" s="49" t="s">
        <v>85</v>
      </c>
      <c r="D29" s="61" t="str">
        <f>Assumptions!$B$22</f>
        <v>$90,001 - $120,000</v>
      </c>
      <c r="E29" s="50" t="s">
        <v>117</v>
      </c>
      <c r="F29" s="68" t="s">
        <v>117</v>
      </c>
      <c r="H29" s="90">
        <f>_xlfn.XLOOKUP(C29,Assumptions!$B$12:$B$15,Assumptions!$C$12:$C$15)</f>
        <v>1.5</v>
      </c>
      <c r="I29" s="91">
        <f>_xlfn.XLOOKUP(D29,Assumptions!$B$19:$B$24,Assumptions!$C$19:$C$24)</f>
        <v>105000</v>
      </c>
      <c r="K29" s="99">
        <f t="shared" si="0"/>
        <v>157500</v>
      </c>
      <c r="L29" s="93">
        <f t="shared" si="1"/>
        <v>0</v>
      </c>
    </row>
    <row r="30" spans="2:12" x14ac:dyDescent="0.3">
      <c r="B30" s="105"/>
      <c r="C30" s="49" t="s">
        <v>85</v>
      </c>
      <c r="D30" s="61" t="str">
        <f>Assumptions!$B$23</f>
        <v>$120,001 - $150,000</v>
      </c>
      <c r="E30" s="50" t="s">
        <v>117</v>
      </c>
      <c r="F30" s="68" t="s">
        <v>117</v>
      </c>
      <c r="H30" s="92">
        <f>_xlfn.XLOOKUP(C30,Assumptions!$B$12:$B$15,Assumptions!$C$12:$C$15)</f>
        <v>1.5</v>
      </c>
      <c r="I30" s="93">
        <f>_xlfn.XLOOKUP(D30,Assumptions!$B$19:$B$24,Assumptions!$C$19:$C$24)</f>
        <v>135000</v>
      </c>
      <c r="K30" s="98">
        <f t="shared" si="0"/>
        <v>202500</v>
      </c>
      <c r="L30" s="91">
        <f t="shared" si="1"/>
        <v>0</v>
      </c>
    </row>
    <row r="31" spans="2:12" x14ac:dyDescent="0.3">
      <c r="B31" s="105"/>
      <c r="C31" s="49" t="s">
        <v>85</v>
      </c>
      <c r="D31" s="61" t="str">
        <f>Assumptions!$B$24</f>
        <v>$150,000+</v>
      </c>
      <c r="E31" s="50" t="s">
        <v>117</v>
      </c>
      <c r="F31" s="68" t="s">
        <v>117</v>
      </c>
      <c r="H31" s="92">
        <f>_xlfn.XLOOKUP(C31,Assumptions!$B$12:$B$15,Assumptions!$C$12:$C$15)</f>
        <v>1.5</v>
      </c>
      <c r="I31" s="93">
        <f>_xlfn.XLOOKUP(D31,Assumptions!$B$19:$B$24,Assumptions!$C$19:$C$24)</f>
        <v>150000</v>
      </c>
      <c r="K31" s="99">
        <f t="shared" si="0"/>
        <v>225000</v>
      </c>
      <c r="L31" s="93">
        <f t="shared" si="1"/>
        <v>0</v>
      </c>
    </row>
    <row r="32" spans="2:12" x14ac:dyDescent="0.3">
      <c r="B32" s="105"/>
      <c r="C32" s="49" t="s">
        <v>86</v>
      </c>
      <c r="D32" s="61" t="str">
        <f>Assumptions!$B$19</f>
        <v>$0 - $30,000</v>
      </c>
      <c r="E32" s="50" t="s">
        <v>117</v>
      </c>
      <c r="F32" s="68" t="s">
        <v>117</v>
      </c>
      <c r="H32" s="90">
        <f>_xlfn.XLOOKUP(C32,Assumptions!$B$12:$B$15,Assumptions!$C$12:$C$15)</f>
        <v>2</v>
      </c>
      <c r="I32" s="91">
        <f>_xlfn.XLOOKUP(D32,Assumptions!$B$19:$B$24,Assumptions!$C$19:$C$24)</f>
        <v>15000</v>
      </c>
      <c r="K32" s="98">
        <f t="shared" si="0"/>
        <v>30000</v>
      </c>
      <c r="L32" s="91">
        <f t="shared" si="1"/>
        <v>0</v>
      </c>
    </row>
    <row r="33" spans="2:12" x14ac:dyDescent="0.3">
      <c r="B33" s="105"/>
      <c r="C33" s="49" t="s">
        <v>86</v>
      </c>
      <c r="D33" s="61" t="str">
        <f>Assumptions!$B$20</f>
        <v>$30,001 - $60,000</v>
      </c>
      <c r="E33" s="50" t="s">
        <v>117</v>
      </c>
      <c r="F33" s="68" t="s">
        <v>117</v>
      </c>
      <c r="H33" s="92">
        <f>_xlfn.XLOOKUP(C33,Assumptions!$B$12:$B$15,Assumptions!$C$12:$C$15)</f>
        <v>2</v>
      </c>
      <c r="I33" s="93">
        <f>_xlfn.XLOOKUP(D33,Assumptions!$B$19:$B$24,Assumptions!$C$19:$C$24)</f>
        <v>45000</v>
      </c>
      <c r="K33" s="99">
        <f t="shared" si="0"/>
        <v>90000</v>
      </c>
      <c r="L33" s="93">
        <f t="shared" si="1"/>
        <v>0</v>
      </c>
    </row>
    <row r="34" spans="2:12" x14ac:dyDescent="0.3">
      <c r="B34" s="105"/>
      <c r="C34" s="49" t="s">
        <v>86</v>
      </c>
      <c r="D34" s="61" t="str">
        <f>Assumptions!$B$21</f>
        <v>$60,001 - $90,000</v>
      </c>
      <c r="E34" s="50" t="s">
        <v>117</v>
      </c>
      <c r="F34" s="68" t="s">
        <v>117</v>
      </c>
      <c r="H34" s="92">
        <f>_xlfn.XLOOKUP(C34,Assumptions!$B$12:$B$15,Assumptions!$C$12:$C$15)</f>
        <v>2</v>
      </c>
      <c r="I34" s="93">
        <f>_xlfn.XLOOKUP(D34,Assumptions!$B$19:$B$24,Assumptions!$C$19:$C$24)</f>
        <v>75000</v>
      </c>
      <c r="K34" s="98">
        <f t="shared" si="0"/>
        <v>150000</v>
      </c>
      <c r="L34" s="91">
        <f t="shared" si="1"/>
        <v>0</v>
      </c>
    </row>
    <row r="35" spans="2:12" x14ac:dyDescent="0.3">
      <c r="B35" s="105"/>
      <c r="C35" s="49" t="s">
        <v>86</v>
      </c>
      <c r="D35" s="61" t="str">
        <f>Assumptions!$B$22</f>
        <v>$90,001 - $120,000</v>
      </c>
      <c r="E35" s="50" t="s">
        <v>117</v>
      </c>
      <c r="F35" s="68" t="s">
        <v>117</v>
      </c>
      <c r="H35" s="90">
        <f>_xlfn.XLOOKUP(C35,Assumptions!$B$12:$B$15,Assumptions!$C$12:$C$15)</f>
        <v>2</v>
      </c>
      <c r="I35" s="91">
        <f>_xlfn.XLOOKUP(D35,Assumptions!$B$19:$B$24,Assumptions!$C$19:$C$24)</f>
        <v>105000</v>
      </c>
      <c r="K35" s="99">
        <f t="shared" si="0"/>
        <v>210000</v>
      </c>
      <c r="L35" s="93">
        <f t="shared" si="1"/>
        <v>0</v>
      </c>
    </row>
    <row r="36" spans="2:12" x14ac:dyDescent="0.3">
      <c r="B36" s="105"/>
      <c r="C36" s="49" t="s">
        <v>86</v>
      </c>
      <c r="D36" s="61" t="str">
        <f>Assumptions!$B$23</f>
        <v>$120,001 - $150,000</v>
      </c>
      <c r="E36" s="50" t="s">
        <v>117</v>
      </c>
      <c r="F36" s="68" t="s">
        <v>117</v>
      </c>
      <c r="H36" s="92">
        <f>_xlfn.XLOOKUP(C36,Assumptions!$B$12:$B$15,Assumptions!$C$12:$C$15)</f>
        <v>2</v>
      </c>
      <c r="I36" s="93">
        <f>_xlfn.XLOOKUP(D36,Assumptions!$B$19:$B$24,Assumptions!$C$19:$C$24)</f>
        <v>135000</v>
      </c>
      <c r="K36" s="98">
        <f t="shared" si="0"/>
        <v>270000</v>
      </c>
      <c r="L36" s="91">
        <f t="shared" si="1"/>
        <v>0</v>
      </c>
    </row>
    <row r="37" spans="2:12" ht="15" thickBot="1" x14ac:dyDescent="0.35">
      <c r="B37" s="111"/>
      <c r="C37" s="69" t="s">
        <v>86</v>
      </c>
      <c r="D37" s="70" t="str">
        <f>Assumptions!$B$24</f>
        <v>$150,000+</v>
      </c>
      <c r="E37" s="71" t="s">
        <v>117</v>
      </c>
      <c r="F37" s="72" t="s">
        <v>117</v>
      </c>
      <c r="H37" s="94">
        <f>_xlfn.XLOOKUP(C37,Assumptions!$B$12:$B$15,Assumptions!$C$12:$C$15)</f>
        <v>2</v>
      </c>
      <c r="I37" s="95">
        <f>_xlfn.XLOOKUP(D37,Assumptions!$B$19:$B$24,Assumptions!$C$19:$C$24)</f>
        <v>150000</v>
      </c>
      <c r="K37" s="100">
        <f t="shared" si="0"/>
        <v>300000</v>
      </c>
      <c r="L37" s="95">
        <f t="shared" si="1"/>
        <v>0</v>
      </c>
    </row>
  </sheetData>
  <sheetProtection algorithmName="SHA-512" hashValue="YwQ+PCUb9/6wiC9m3R4fmPlROiej5wF8lpf5E4urWUbO19G6sj0U4JZ25cP6RWOREEwbT5CKHBs+1K/MN1sdaw==" saltValue="XBM8omVPNvajzaFtEQOi7g==" spinCount="100000" sheet="1" objects="1" scenarios="1"/>
  <hyperlinks>
    <hyperlink ref="A1" location="INSTRUCTIONS!A1" display="Instructions" xr:uid="{1F6A33E8-4560-4A40-B159-7285AC7F136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8CC6-EC0D-4457-BC0B-C7826DB4AAA7}">
  <dimension ref="A1:M86"/>
  <sheetViews>
    <sheetView zoomScale="70" zoomScaleNormal="70" workbookViewId="0"/>
  </sheetViews>
  <sheetFormatPr defaultColWidth="8.88671875" defaultRowHeight="14.4" x14ac:dyDescent="0.3"/>
  <cols>
    <col min="1" max="1" width="12.33203125" style="1" customWidth="1"/>
    <col min="2" max="6" width="80.77734375" style="1" customWidth="1"/>
    <col min="7" max="7" width="4.33203125" style="1" customWidth="1"/>
    <col min="8" max="8" width="19.5546875" style="1" bestFit="1" customWidth="1"/>
    <col min="9" max="9" width="21.21875" style="1" bestFit="1" customWidth="1"/>
    <col min="10" max="10" width="29.33203125" style="1" bestFit="1" customWidth="1"/>
    <col min="11" max="11" width="4.88671875" style="1" customWidth="1"/>
    <col min="12" max="12" width="43.5546875" style="1" bestFit="1" customWidth="1"/>
    <col min="13" max="13" width="33.44140625" style="1" bestFit="1" customWidth="1"/>
    <col min="14" max="16384" width="8.88671875" style="1"/>
  </cols>
  <sheetData>
    <row r="1" spans="1:13" x14ac:dyDescent="0.3">
      <c r="A1" s="54" t="s">
        <v>62</v>
      </c>
    </row>
    <row r="2" spans="1:13" s="2" customFormat="1" x14ac:dyDescent="0.3">
      <c r="A2" s="3" t="s">
        <v>118</v>
      </c>
    </row>
    <row r="3" spans="1:13" x14ac:dyDescent="0.3">
      <c r="A3" s="29"/>
    </row>
    <row r="4" spans="1:13" x14ac:dyDescent="0.3">
      <c r="A4" s="7"/>
      <c r="B4" s="6" t="s">
        <v>110</v>
      </c>
      <c r="C4" s="6"/>
    </row>
    <row r="5" spans="1:13" x14ac:dyDescent="0.3">
      <c r="A5" s="7"/>
      <c r="B5" s="43" t="s">
        <v>154</v>
      </c>
      <c r="C5" s="43"/>
    </row>
    <row r="6" spans="1:13" x14ac:dyDescent="0.3">
      <c r="A6" s="7"/>
      <c r="B6" s="44" t="s">
        <v>111</v>
      </c>
      <c r="C6" s="44"/>
    </row>
    <row r="7" spans="1:13" x14ac:dyDescent="0.3">
      <c r="A7" s="7"/>
      <c r="B7" s="45" t="s">
        <v>112</v>
      </c>
      <c r="C7" s="45"/>
    </row>
    <row r="8" spans="1:13" x14ac:dyDescent="0.3">
      <c r="A8" s="7"/>
      <c r="B8" s="46" t="s">
        <v>182</v>
      </c>
      <c r="C8" s="46"/>
    </row>
    <row r="9" spans="1:13" x14ac:dyDescent="0.3">
      <c r="A9" s="7"/>
    </row>
    <row r="10" spans="1:13" x14ac:dyDescent="0.3">
      <c r="A10" s="7"/>
      <c r="B10" s="6" t="s">
        <v>172</v>
      </c>
    </row>
    <row r="11" spans="1:13" x14ac:dyDescent="0.3">
      <c r="A11" s="7"/>
      <c r="B11" s="128" t="s">
        <v>184</v>
      </c>
    </row>
    <row r="12" spans="1:13" ht="9" customHeight="1" thickBot="1" x14ac:dyDescent="0.35">
      <c r="A12" s="7"/>
    </row>
    <row r="13" spans="1:13" ht="23.4" x14ac:dyDescent="0.45">
      <c r="A13" s="7"/>
      <c r="B13" s="122" t="s">
        <v>153</v>
      </c>
      <c r="C13" s="107" t="s">
        <v>161</v>
      </c>
      <c r="D13" s="107"/>
      <c r="E13" s="64"/>
      <c r="F13" s="65"/>
      <c r="H13" s="88" t="s">
        <v>113</v>
      </c>
      <c r="I13" s="113"/>
      <c r="J13" s="89"/>
      <c r="L13" s="96" t="s">
        <v>30</v>
      </c>
      <c r="M13" s="117"/>
    </row>
    <row r="14" spans="1:13" ht="33.6" customHeight="1" x14ac:dyDescent="0.3">
      <c r="B14" s="126" t="s">
        <v>156</v>
      </c>
      <c r="C14" s="124" t="s">
        <v>157</v>
      </c>
      <c r="D14" s="124" t="s">
        <v>158</v>
      </c>
      <c r="E14" s="127" t="s">
        <v>119</v>
      </c>
      <c r="F14" s="66" t="s">
        <v>120</v>
      </c>
      <c r="G14" s="74"/>
      <c r="H14" s="103" t="s">
        <v>115</v>
      </c>
      <c r="I14" s="75" t="s">
        <v>121</v>
      </c>
      <c r="J14" s="104" t="s">
        <v>122</v>
      </c>
      <c r="K14" s="4"/>
      <c r="L14" s="101" t="s">
        <v>123</v>
      </c>
      <c r="M14" s="102" t="s">
        <v>124</v>
      </c>
    </row>
    <row r="15" spans="1:13" ht="14.4" customHeight="1" x14ac:dyDescent="0.3">
      <c r="B15" s="108"/>
      <c r="C15" s="47" t="s">
        <v>83</v>
      </c>
      <c r="D15" s="62" t="str">
        <f>Assumptions!$B$19</f>
        <v>$0 - $30,000</v>
      </c>
      <c r="E15" s="47" t="s">
        <v>125</v>
      </c>
      <c r="F15" s="109" t="s">
        <v>97</v>
      </c>
      <c r="G15" s="5"/>
      <c r="H15" s="114">
        <f>_xlfn.XLOOKUP(D15,Assumptions!$B$19:$B$24,Assumptions!$C$19:$C$24)</f>
        <v>15000</v>
      </c>
      <c r="I15" s="53">
        <f>H15/Assumptions!$C$6</f>
        <v>57.692307692307693</v>
      </c>
      <c r="J15" s="115">
        <f>_xlfn.XLOOKUP(F15,Assumptions!$B$28:$B$34,Assumptions!$C$28:$C$34)</f>
        <v>1.5</v>
      </c>
      <c r="L15" s="114">
        <f t="shared" ref="L15:L50" si="0">I15*J15</f>
        <v>86.538461538461547</v>
      </c>
      <c r="M15" s="118">
        <f t="shared" ref="M15:M26" si="1">L15*B15</f>
        <v>0</v>
      </c>
    </row>
    <row r="16" spans="1:13" x14ac:dyDescent="0.3">
      <c r="B16" s="106"/>
      <c r="C16" s="49" t="s">
        <v>83</v>
      </c>
      <c r="D16" s="61" t="str">
        <f>Assumptions!$B$19</f>
        <v>$0 - $30,000</v>
      </c>
      <c r="E16" s="49" t="s">
        <v>125</v>
      </c>
      <c r="F16" s="110" t="s">
        <v>98</v>
      </c>
      <c r="G16" s="5"/>
      <c r="H16" s="99">
        <f>_xlfn.XLOOKUP(D16,Assumptions!$B$19:$B$24,Assumptions!$C$19:$C$24)</f>
        <v>15000</v>
      </c>
      <c r="I16" s="52">
        <f>H16/Assumptions!$C$6</f>
        <v>57.692307692307693</v>
      </c>
      <c r="J16" s="110">
        <f>_xlfn.XLOOKUP(F16,Assumptions!$B$28:$B$34,Assumptions!$C$28:$C$34)</f>
        <v>3.5</v>
      </c>
      <c r="L16" s="99">
        <f t="shared" si="0"/>
        <v>201.92307692307693</v>
      </c>
      <c r="M16" s="93">
        <f t="shared" si="1"/>
        <v>0</v>
      </c>
    </row>
    <row r="17" spans="2:13" x14ac:dyDescent="0.3">
      <c r="B17" s="106"/>
      <c r="C17" s="49" t="s">
        <v>83</v>
      </c>
      <c r="D17" s="61" t="str">
        <f>Assumptions!$B$19</f>
        <v>$0 - $30,000</v>
      </c>
      <c r="E17" s="49" t="s">
        <v>125</v>
      </c>
      <c r="F17" s="110" t="s">
        <v>99</v>
      </c>
      <c r="G17" s="5"/>
      <c r="H17" s="98">
        <f>_xlfn.XLOOKUP(D17,Assumptions!$B$19:$B$24,Assumptions!$C$19:$C$24)</f>
        <v>15000</v>
      </c>
      <c r="I17" s="51">
        <f>H17/Assumptions!$C$6</f>
        <v>57.692307692307693</v>
      </c>
      <c r="J17" s="109">
        <f>_xlfn.XLOOKUP(F17,Assumptions!$B$28:$B$34,Assumptions!$C$28:$C$34)</f>
        <v>5.5</v>
      </c>
      <c r="L17" s="98">
        <f t="shared" si="0"/>
        <v>317.30769230769232</v>
      </c>
      <c r="M17" s="91">
        <f t="shared" si="1"/>
        <v>0</v>
      </c>
    </row>
    <row r="18" spans="2:13" x14ac:dyDescent="0.3">
      <c r="B18" s="105"/>
      <c r="C18" s="49" t="s">
        <v>83</v>
      </c>
      <c r="D18" s="61" t="str">
        <f>Assumptions!$B$19</f>
        <v>$0 - $30,000</v>
      </c>
      <c r="E18" s="49" t="s">
        <v>125</v>
      </c>
      <c r="F18" s="110" t="s">
        <v>100</v>
      </c>
      <c r="G18" s="5"/>
      <c r="H18" s="99">
        <f>_xlfn.XLOOKUP(D18,Assumptions!$B$19:$B$24,Assumptions!$C$19:$C$24)</f>
        <v>15000</v>
      </c>
      <c r="I18" s="52">
        <f>H18/Assumptions!$C$6</f>
        <v>57.692307692307693</v>
      </c>
      <c r="J18" s="110">
        <f>_xlfn.XLOOKUP(F18,Assumptions!$B$28:$B$34,Assumptions!$C$28:$C$34)</f>
        <v>7.5</v>
      </c>
      <c r="L18" s="99">
        <f t="shared" si="0"/>
        <v>432.69230769230768</v>
      </c>
      <c r="M18" s="93">
        <f t="shared" si="1"/>
        <v>0</v>
      </c>
    </row>
    <row r="19" spans="2:13" x14ac:dyDescent="0.3">
      <c r="B19" s="106"/>
      <c r="C19" s="49" t="s">
        <v>83</v>
      </c>
      <c r="D19" s="61" t="str">
        <f>Assumptions!$B$19</f>
        <v>$0 - $30,000</v>
      </c>
      <c r="E19" s="49" t="s">
        <v>125</v>
      </c>
      <c r="F19" s="110" t="s">
        <v>101</v>
      </c>
      <c r="G19" s="5"/>
      <c r="H19" s="98">
        <f>_xlfn.XLOOKUP(D19,Assumptions!$B$19:$B$24,Assumptions!$C$19:$C$24)</f>
        <v>15000</v>
      </c>
      <c r="I19" s="51">
        <f>H19/Assumptions!$C$6</f>
        <v>57.692307692307693</v>
      </c>
      <c r="J19" s="109">
        <f>_xlfn.XLOOKUP(F19,Assumptions!$B$28:$B$34,Assumptions!$C$28:$C$34)</f>
        <v>9.5</v>
      </c>
      <c r="L19" s="98">
        <f t="shared" si="0"/>
        <v>548.07692307692309</v>
      </c>
      <c r="M19" s="91">
        <f t="shared" si="1"/>
        <v>0</v>
      </c>
    </row>
    <row r="20" spans="2:13" x14ac:dyDescent="0.3">
      <c r="B20" s="106"/>
      <c r="C20" s="49" t="s">
        <v>83</v>
      </c>
      <c r="D20" s="61" t="str">
        <f>Assumptions!$B$19</f>
        <v>$0 - $30,000</v>
      </c>
      <c r="E20" s="49" t="s">
        <v>125</v>
      </c>
      <c r="F20" s="110" t="s">
        <v>102</v>
      </c>
      <c r="G20" s="5"/>
      <c r="H20" s="99">
        <f>_xlfn.XLOOKUP(D20,Assumptions!$B$19:$B$24,Assumptions!$C$19:$C$24)</f>
        <v>15000</v>
      </c>
      <c r="I20" s="52">
        <f>H20/Assumptions!$C$6</f>
        <v>57.692307692307693</v>
      </c>
      <c r="J20" s="110">
        <f>_xlfn.XLOOKUP(F20,Assumptions!$B$28:$B$34,Assumptions!$C$28:$C$34)</f>
        <v>10</v>
      </c>
      <c r="L20" s="99">
        <f t="shared" si="0"/>
        <v>576.92307692307691</v>
      </c>
      <c r="M20" s="93">
        <f t="shared" si="1"/>
        <v>0</v>
      </c>
    </row>
    <row r="21" spans="2:13" x14ac:dyDescent="0.3">
      <c r="B21" s="105"/>
      <c r="C21" s="49" t="s">
        <v>83</v>
      </c>
      <c r="D21" s="61" t="str">
        <f>Assumptions!$B$20</f>
        <v>$30,001 - $60,000</v>
      </c>
      <c r="E21" s="49" t="s">
        <v>125</v>
      </c>
      <c r="F21" s="110" t="s">
        <v>97</v>
      </c>
      <c r="G21" s="5"/>
      <c r="H21" s="98">
        <f>_xlfn.XLOOKUP(D21,Assumptions!$B$19:$B$24,Assumptions!$C$19:$C$24)</f>
        <v>45000</v>
      </c>
      <c r="I21" s="51">
        <f>H21/Assumptions!$C$6</f>
        <v>173.07692307692307</v>
      </c>
      <c r="J21" s="109">
        <f>_xlfn.XLOOKUP(F21,Assumptions!$B$28:$B$34,Assumptions!$C$28:$C$34)</f>
        <v>1.5</v>
      </c>
      <c r="L21" s="98">
        <f t="shared" si="0"/>
        <v>259.61538461538458</v>
      </c>
      <c r="M21" s="91">
        <f t="shared" si="1"/>
        <v>0</v>
      </c>
    </row>
    <row r="22" spans="2:13" x14ac:dyDescent="0.3">
      <c r="B22" s="106"/>
      <c r="C22" s="49" t="s">
        <v>83</v>
      </c>
      <c r="D22" s="61" t="str">
        <f>Assumptions!$B$20</f>
        <v>$30,001 - $60,000</v>
      </c>
      <c r="E22" s="49" t="s">
        <v>125</v>
      </c>
      <c r="F22" s="110" t="s">
        <v>98</v>
      </c>
      <c r="G22" s="5"/>
      <c r="H22" s="99">
        <f>_xlfn.XLOOKUP(D22,Assumptions!$B$19:$B$24,Assumptions!$C$19:$C$24)</f>
        <v>45000</v>
      </c>
      <c r="I22" s="52">
        <f>H22/Assumptions!$C$6</f>
        <v>173.07692307692307</v>
      </c>
      <c r="J22" s="110">
        <f>_xlfn.XLOOKUP(F22,Assumptions!$B$28:$B$34,Assumptions!$C$28:$C$34)</f>
        <v>3.5</v>
      </c>
      <c r="L22" s="99">
        <f t="shared" si="0"/>
        <v>605.76923076923072</v>
      </c>
      <c r="M22" s="93">
        <f t="shared" si="1"/>
        <v>0</v>
      </c>
    </row>
    <row r="23" spans="2:13" x14ac:dyDescent="0.3">
      <c r="B23" s="106"/>
      <c r="C23" s="49" t="s">
        <v>83</v>
      </c>
      <c r="D23" s="61" t="str">
        <f>Assumptions!$B$20</f>
        <v>$30,001 - $60,000</v>
      </c>
      <c r="E23" s="49" t="s">
        <v>125</v>
      </c>
      <c r="F23" s="110" t="s">
        <v>99</v>
      </c>
      <c r="G23" s="5"/>
      <c r="H23" s="98">
        <f>_xlfn.XLOOKUP(D23,Assumptions!$B$19:$B$24,Assumptions!$C$19:$C$24)</f>
        <v>45000</v>
      </c>
      <c r="I23" s="51">
        <f>H23/Assumptions!$C$6</f>
        <v>173.07692307692307</v>
      </c>
      <c r="J23" s="109">
        <f>_xlfn.XLOOKUP(F23,Assumptions!$B$28:$B$34,Assumptions!$C$28:$C$34)</f>
        <v>5.5</v>
      </c>
      <c r="L23" s="98">
        <f t="shared" si="0"/>
        <v>951.92307692307691</v>
      </c>
      <c r="M23" s="91">
        <f t="shared" si="1"/>
        <v>0</v>
      </c>
    </row>
    <row r="24" spans="2:13" x14ac:dyDescent="0.3">
      <c r="B24" s="105"/>
      <c r="C24" s="49" t="s">
        <v>83</v>
      </c>
      <c r="D24" s="61" t="str">
        <f>Assumptions!$B$20</f>
        <v>$30,001 - $60,000</v>
      </c>
      <c r="E24" s="49" t="s">
        <v>125</v>
      </c>
      <c r="F24" s="110" t="s">
        <v>100</v>
      </c>
      <c r="G24" s="5"/>
      <c r="H24" s="99">
        <f>_xlfn.XLOOKUP(D24,Assumptions!$B$19:$B$24,Assumptions!$C$19:$C$24)</f>
        <v>45000</v>
      </c>
      <c r="I24" s="52">
        <f>H24/Assumptions!$C$6</f>
        <v>173.07692307692307</v>
      </c>
      <c r="J24" s="110">
        <f>_xlfn.XLOOKUP(F24,Assumptions!$B$28:$B$34,Assumptions!$C$28:$C$34)</f>
        <v>7.5</v>
      </c>
      <c r="L24" s="99">
        <f t="shared" si="0"/>
        <v>1298.0769230769231</v>
      </c>
      <c r="M24" s="93">
        <f t="shared" si="1"/>
        <v>0</v>
      </c>
    </row>
    <row r="25" spans="2:13" x14ac:dyDescent="0.3">
      <c r="B25" s="106"/>
      <c r="C25" s="49" t="s">
        <v>83</v>
      </c>
      <c r="D25" s="61" t="str">
        <f>Assumptions!$B$20</f>
        <v>$30,001 - $60,000</v>
      </c>
      <c r="E25" s="49" t="s">
        <v>125</v>
      </c>
      <c r="F25" s="110" t="s">
        <v>101</v>
      </c>
      <c r="G25" s="5"/>
      <c r="H25" s="98">
        <f>_xlfn.XLOOKUP(D25,Assumptions!$B$19:$B$24,Assumptions!$C$19:$C$24)</f>
        <v>45000</v>
      </c>
      <c r="I25" s="51">
        <f>H25/Assumptions!$C$6</f>
        <v>173.07692307692307</v>
      </c>
      <c r="J25" s="109">
        <f>_xlfn.XLOOKUP(F25,Assumptions!$B$28:$B$34,Assumptions!$C$28:$C$34)</f>
        <v>9.5</v>
      </c>
      <c r="L25" s="98">
        <f t="shared" si="0"/>
        <v>1644.2307692307691</v>
      </c>
      <c r="M25" s="91">
        <f t="shared" si="1"/>
        <v>0</v>
      </c>
    </row>
    <row r="26" spans="2:13" x14ac:dyDescent="0.3">
      <c r="B26" s="106"/>
      <c r="C26" s="49" t="s">
        <v>83</v>
      </c>
      <c r="D26" s="61" t="str">
        <f>Assumptions!$B$20</f>
        <v>$30,001 - $60,000</v>
      </c>
      <c r="E26" s="49" t="s">
        <v>125</v>
      </c>
      <c r="F26" s="110" t="s">
        <v>102</v>
      </c>
      <c r="G26" s="5"/>
      <c r="H26" s="99">
        <f>_xlfn.XLOOKUP(D26,Assumptions!$B$19:$B$24,Assumptions!$C$19:$C$24)</f>
        <v>45000</v>
      </c>
      <c r="I26" s="52">
        <f>H26/Assumptions!$C$6</f>
        <v>173.07692307692307</v>
      </c>
      <c r="J26" s="110">
        <f>_xlfn.XLOOKUP(F26,Assumptions!$B$28:$B$34,Assumptions!$C$28:$C$34)</f>
        <v>10</v>
      </c>
      <c r="L26" s="99">
        <f t="shared" si="0"/>
        <v>1730.7692307692307</v>
      </c>
      <c r="M26" s="93">
        <f t="shared" si="1"/>
        <v>0</v>
      </c>
    </row>
    <row r="27" spans="2:13" x14ac:dyDescent="0.3">
      <c r="B27" s="105"/>
      <c r="C27" s="49" t="s">
        <v>83</v>
      </c>
      <c r="D27" s="61" t="str">
        <f>Assumptions!$B$21</f>
        <v>$60,001 - $90,000</v>
      </c>
      <c r="E27" s="49" t="s">
        <v>125</v>
      </c>
      <c r="F27" s="110" t="s">
        <v>97</v>
      </c>
      <c r="G27" s="5"/>
      <c r="H27" s="98">
        <f>_xlfn.XLOOKUP(D27,Assumptions!$B$19:$B$24,Assumptions!$C$19:$C$24)</f>
        <v>75000</v>
      </c>
      <c r="I27" s="51">
        <f>H27/Assumptions!$C$6</f>
        <v>288.46153846153845</v>
      </c>
      <c r="J27" s="109">
        <f>_xlfn.XLOOKUP(F27,Assumptions!$B$28:$B$34,Assumptions!$C$28:$C$34)</f>
        <v>1.5</v>
      </c>
      <c r="L27" s="98">
        <f t="shared" si="0"/>
        <v>432.69230769230768</v>
      </c>
      <c r="M27" s="91">
        <f t="shared" ref="M27:M50" si="2">L27*B27</f>
        <v>0</v>
      </c>
    </row>
    <row r="28" spans="2:13" x14ac:dyDescent="0.3">
      <c r="B28" s="105"/>
      <c r="C28" s="49" t="s">
        <v>83</v>
      </c>
      <c r="D28" s="61" t="str">
        <f>Assumptions!$B$21</f>
        <v>$60,001 - $90,000</v>
      </c>
      <c r="E28" s="49" t="s">
        <v>125</v>
      </c>
      <c r="F28" s="110" t="s">
        <v>98</v>
      </c>
      <c r="G28" s="5"/>
      <c r="H28" s="99">
        <f>_xlfn.XLOOKUP(D28,Assumptions!$B$19:$B$24,Assumptions!$C$19:$C$24)</f>
        <v>75000</v>
      </c>
      <c r="I28" s="52">
        <f>H28/Assumptions!$C$6</f>
        <v>288.46153846153845</v>
      </c>
      <c r="J28" s="110">
        <f>_xlfn.XLOOKUP(F28,Assumptions!$B$28:$B$34,Assumptions!$C$28:$C$34)</f>
        <v>3.5</v>
      </c>
      <c r="L28" s="99">
        <f t="shared" si="0"/>
        <v>1009.6153846153845</v>
      </c>
      <c r="M28" s="93">
        <f t="shared" si="2"/>
        <v>0</v>
      </c>
    </row>
    <row r="29" spans="2:13" x14ac:dyDescent="0.3">
      <c r="B29" s="105"/>
      <c r="C29" s="49" t="s">
        <v>83</v>
      </c>
      <c r="D29" s="61" t="str">
        <f>Assumptions!$B$21</f>
        <v>$60,001 - $90,000</v>
      </c>
      <c r="E29" s="49" t="s">
        <v>125</v>
      </c>
      <c r="F29" s="110" t="s">
        <v>99</v>
      </c>
      <c r="G29" s="5"/>
      <c r="H29" s="98">
        <f>_xlfn.XLOOKUP(D29,Assumptions!$B$19:$B$24,Assumptions!$C$19:$C$24)</f>
        <v>75000</v>
      </c>
      <c r="I29" s="51">
        <f>H29/Assumptions!$C$6</f>
        <v>288.46153846153845</v>
      </c>
      <c r="J29" s="109">
        <f>_xlfn.XLOOKUP(F29,Assumptions!$B$28:$B$34,Assumptions!$C$28:$C$34)</f>
        <v>5.5</v>
      </c>
      <c r="L29" s="98">
        <f t="shared" si="0"/>
        <v>1586.5384615384614</v>
      </c>
      <c r="M29" s="91">
        <f t="shared" si="2"/>
        <v>0</v>
      </c>
    </row>
    <row r="30" spans="2:13" x14ac:dyDescent="0.3">
      <c r="B30" s="105"/>
      <c r="C30" s="49" t="s">
        <v>83</v>
      </c>
      <c r="D30" s="61" t="str">
        <f>Assumptions!$B$21</f>
        <v>$60,001 - $90,000</v>
      </c>
      <c r="E30" s="49" t="s">
        <v>125</v>
      </c>
      <c r="F30" s="110" t="s">
        <v>100</v>
      </c>
      <c r="G30" s="5"/>
      <c r="H30" s="99">
        <f>_xlfn.XLOOKUP(D30,Assumptions!$B$19:$B$24,Assumptions!$C$19:$C$24)</f>
        <v>75000</v>
      </c>
      <c r="I30" s="52">
        <f>H30/Assumptions!$C$6</f>
        <v>288.46153846153845</v>
      </c>
      <c r="J30" s="110">
        <f>_xlfn.XLOOKUP(F30,Assumptions!$B$28:$B$34,Assumptions!$C$28:$C$34)</f>
        <v>7.5</v>
      </c>
      <c r="L30" s="99">
        <f t="shared" si="0"/>
        <v>2163.4615384615386</v>
      </c>
      <c r="M30" s="93">
        <f t="shared" si="2"/>
        <v>0</v>
      </c>
    </row>
    <row r="31" spans="2:13" x14ac:dyDescent="0.3">
      <c r="B31" s="105"/>
      <c r="C31" s="49" t="s">
        <v>83</v>
      </c>
      <c r="D31" s="61" t="str">
        <f>Assumptions!$B$21</f>
        <v>$60,001 - $90,000</v>
      </c>
      <c r="E31" s="49" t="s">
        <v>125</v>
      </c>
      <c r="F31" s="110" t="s">
        <v>101</v>
      </c>
      <c r="G31" s="5"/>
      <c r="H31" s="98">
        <f>_xlfn.XLOOKUP(D31,Assumptions!$B$19:$B$24,Assumptions!$C$19:$C$24)</f>
        <v>75000</v>
      </c>
      <c r="I31" s="51">
        <f>H31/Assumptions!$C$6</f>
        <v>288.46153846153845</v>
      </c>
      <c r="J31" s="109">
        <f>_xlfn.XLOOKUP(F31,Assumptions!$B$28:$B$34,Assumptions!$C$28:$C$34)</f>
        <v>9.5</v>
      </c>
      <c r="L31" s="98">
        <f t="shared" si="0"/>
        <v>2740.3846153846152</v>
      </c>
      <c r="M31" s="91">
        <f t="shared" si="2"/>
        <v>0</v>
      </c>
    </row>
    <row r="32" spans="2:13" x14ac:dyDescent="0.3">
      <c r="B32" s="105"/>
      <c r="C32" s="49" t="s">
        <v>83</v>
      </c>
      <c r="D32" s="61" t="str">
        <f>Assumptions!$B$21</f>
        <v>$60,001 - $90,000</v>
      </c>
      <c r="E32" s="49" t="s">
        <v>125</v>
      </c>
      <c r="F32" s="110" t="s">
        <v>102</v>
      </c>
      <c r="G32" s="5"/>
      <c r="H32" s="99">
        <f>_xlfn.XLOOKUP(D32,Assumptions!$B$19:$B$24,Assumptions!$C$19:$C$24)</f>
        <v>75000</v>
      </c>
      <c r="I32" s="52">
        <f>H32/Assumptions!$C$6</f>
        <v>288.46153846153845</v>
      </c>
      <c r="J32" s="110">
        <f>_xlfn.XLOOKUP(F32,Assumptions!$B$28:$B$34,Assumptions!$C$28:$C$34)</f>
        <v>10</v>
      </c>
      <c r="L32" s="99">
        <f t="shared" si="0"/>
        <v>2884.6153846153848</v>
      </c>
      <c r="M32" s="93">
        <f t="shared" si="2"/>
        <v>0</v>
      </c>
    </row>
    <row r="33" spans="2:13" x14ac:dyDescent="0.3">
      <c r="B33" s="105"/>
      <c r="C33" s="49" t="s">
        <v>83</v>
      </c>
      <c r="D33" s="61" t="str">
        <f>Assumptions!$B$22</f>
        <v>$90,001 - $120,000</v>
      </c>
      <c r="E33" s="49" t="s">
        <v>125</v>
      </c>
      <c r="F33" s="110" t="s">
        <v>97</v>
      </c>
      <c r="G33" s="5"/>
      <c r="H33" s="98">
        <f>_xlfn.XLOOKUP(D33,Assumptions!$B$19:$B$24,Assumptions!$C$19:$C$24)</f>
        <v>105000</v>
      </c>
      <c r="I33" s="51">
        <f>H33/Assumptions!$C$6</f>
        <v>403.84615384615387</v>
      </c>
      <c r="J33" s="109">
        <f>_xlfn.XLOOKUP(F33,Assumptions!$B$28:$B$34,Assumptions!$C$28:$C$34)</f>
        <v>1.5</v>
      </c>
      <c r="L33" s="98">
        <f t="shared" si="0"/>
        <v>605.76923076923083</v>
      </c>
      <c r="M33" s="91">
        <f t="shared" si="2"/>
        <v>0</v>
      </c>
    </row>
    <row r="34" spans="2:13" x14ac:dyDescent="0.3">
      <c r="B34" s="105"/>
      <c r="C34" s="49" t="s">
        <v>83</v>
      </c>
      <c r="D34" s="61" t="str">
        <f>Assumptions!$B$22</f>
        <v>$90,001 - $120,000</v>
      </c>
      <c r="E34" s="49" t="s">
        <v>125</v>
      </c>
      <c r="F34" s="110" t="s">
        <v>98</v>
      </c>
      <c r="G34" s="5"/>
      <c r="H34" s="99">
        <f>_xlfn.XLOOKUP(D34,Assumptions!$B$19:$B$24,Assumptions!$C$19:$C$24)</f>
        <v>105000</v>
      </c>
      <c r="I34" s="52">
        <f>H34/Assumptions!$C$6</f>
        <v>403.84615384615387</v>
      </c>
      <c r="J34" s="110">
        <f>_xlfn.XLOOKUP(F34,Assumptions!$B$28:$B$34,Assumptions!$C$28:$C$34)</f>
        <v>3.5</v>
      </c>
      <c r="L34" s="99">
        <f t="shared" si="0"/>
        <v>1413.4615384615386</v>
      </c>
      <c r="M34" s="93">
        <f t="shared" si="2"/>
        <v>0</v>
      </c>
    </row>
    <row r="35" spans="2:13" x14ac:dyDescent="0.3">
      <c r="B35" s="105"/>
      <c r="C35" s="49" t="s">
        <v>83</v>
      </c>
      <c r="D35" s="61" t="str">
        <f>Assumptions!$B$22</f>
        <v>$90,001 - $120,000</v>
      </c>
      <c r="E35" s="49" t="s">
        <v>125</v>
      </c>
      <c r="F35" s="110" t="s">
        <v>99</v>
      </c>
      <c r="G35" s="5"/>
      <c r="H35" s="98">
        <f>_xlfn.XLOOKUP(D35,Assumptions!$B$19:$B$24,Assumptions!$C$19:$C$24)</f>
        <v>105000</v>
      </c>
      <c r="I35" s="51">
        <f>H35/Assumptions!$C$6</f>
        <v>403.84615384615387</v>
      </c>
      <c r="J35" s="109">
        <f>_xlfn.XLOOKUP(F35,Assumptions!$B$28:$B$34,Assumptions!$C$28:$C$34)</f>
        <v>5.5</v>
      </c>
      <c r="L35" s="98">
        <f t="shared" si="0"/>
        <v>2221.1538461538462</v>
      </c>
      <c r="M35" s="91">
        <f t="shared" si="2"/>
        <v>0</v>
      </c>
    </row>
    <row r="36" spans="2:13" x14ac:dyDescent="0.3">
      <c r="B36" s="105"/>
      <c r="C36" s="49" t="s">
        <v>83</v>
      </c>
      <c r="D36" s="61" t="str">
        <f>Assumptions!$B$22</f>
        <v>$90,001 - $120,000</v>
      </c>
      <c r="E36" s="49" t="s">
        <v>125</v>
      </c>
      <c r="F36" s="110" t="s">
        <v>100</v>
      </c>
      <c r="G36" s="5"/>
      <c r="H36" s="99">
        <f>_xlfn.XLOOKUP(D36,Assumptions!$B$19:$B$24,Assumptions!$C$19:$C$24)</f>
        <v>105000</v>
      </c>
      <c r="I36" s="52">
        <f>H36/Assumptions!$C$6</f>
        <v>403.84615384615387</v>
      </c>
      <c r="J36" s="110">
        <f>_xlfn.XLOOKUP(F36,Assumptions!$B$28:$B$34,Assumptions!$C$28:$C$34)</f>
        <v>7.5</v>
      </c>
      <c r="L36" s="99">
        <f t="shared" si="0"/>
        <v>3028.8461538461538</v>
      </c>
      <c r="M36" s="93">
        <f t="shared" si="2"/>
        <v>0</v>
      </c>
    </row>
    <row r="37" spans="2:13" x14ac:dyDescent="0.3">
      <c r="B37" s="105"/>
      <c r="C37" s="49" t="s">
        <v>83</v>
      </c>
      <c r="D37" s="61" t="str">
        <f>Assumptions!$B$22</f>
        <v>$90,001 - $120,000</v>
      </c>
      <c r="E37" s="49" t="s">
        <v>125</v>
      </c>
      <c r="F37" s="110" t="s">
        <v>101</v>
      </c>
      <c r="G37" s="5"/>
      <c r="H37" s="98">
        <f>_xlfn.XLOOKUP(D37,Assumptions!$B$19:$B$24,Assumptions!$C$19:$C$24)</f>
        <v>105000</v>
      </c>
      <c r="I37" s="51">
        <f>H37/Assumptions!$C$6</f>
        <v>403.84615384615387</v>
      </c>
      <c r="J37" s="109">
        <f>_xlfn.XLOOKUP(F37,Assumptions!$B$28:$B$34,Assumptions!$C$28:$C$34)</f>
        <v>9.5</v>
      </c>
      <c r="L37" s="98">
        <f t="shared" si="0"/>
        <v>3836.5384615384619</v>
      </c>
      <c r="M37" s="91">
        <f t="shared" si="2"/>
        <v>0</v>
      </c>
    </row>
    <row r="38" spans="2:13" x14ac:dyDescent="0.3">
      <c r="B38" s="105"/>
      <c r="C38" s="49" t="s">
        <v>83</v>
      </c>
      <c r="D38" s="61" t="str">
        <f>Assumptions!$B$22</f>
        <v>$90,001 - $120,000</v>
      </c>
      <c r="E38" s="49" t="s">
        <v>125</v>
      </c>
      <c r="F38" s="110" t="s">
        <v>102</v>
      </c>
      <c r="G38" s="5"/>
      <c r="H38" s="99">
        <f>_xlfn.XLOOKUP(D38,Assumptions!$B$19:$B$24,Assumptions!$C$19:$C$24)</f>
        <v>105000</v>
      </c>
      <c r="I38" s="52">
        <f>H38/Assumptions!$C$6</f>
        <v>403.84615384615387</v>
      </c>
      <c r="J38" s="110">
        <f>_xlfn.XLOOKUP(F38,Assumptions!$B$28:$B$34,Assumptions!$C$28:$C$34)</f>
        <v>10</v>
      </c>
      <c r="L38" s="99">
        <f t="shared" si="0"/>
        <v>4038.4615384615386</v>
      </c>
      <c r="M38" s="93">
        <f t="shared" si="2"/>
        <v>0</v>
      </c>
    </row>
    <row r="39" spans="2:13" x14ac:dyDescent="0.3">
      <c r="B39" s="105"/>
      <c r="C39" s="49" t="s">
        <v>83</v>
      </c>
      <c r="D39" s="61" t="str">
        <f>Assumptions!$B$23</f>
        <v>$120,001 - $150,000</v>
      </c>
      <c r="E39" s="49" t="s">
        <v>125</v>
      </c>
      <c r="F39" s="110" t="s">
        <v>97</v>
      </c>
      <c r="G39" s="5"/>
      <c r="H39" s="98">
        <f>_xlfn.XLOOKUP(D39,Assumptions!$B$19:$B$24,Assumptions!$C$19:$C$24)</f>
        <v>135000</v>
      </c>
      <c r="I39" s="51">
        <f>H39/Assumptions!$C$6</f>
        <v>519.23076923076928</v>
      </c>
      <c r="J39" s="109">
        <f>_xlfn.XLOOKUP(F39,Assumptions!$B$28:$B$34,Assumptions!$C$28:$C$34)</f>
        <v>1.5</v>
      </c>
      <c r="L39" s="98">
        <f t="shared" si="0"/>
        <v>778.84615384615392</v>
      </c>
      <c r="M39" s="91">
        <f t="shared" si="2"/>
        <v>0</v>
      </c>
    </row>
    <row r="40" spans="2:13" x14ac:dyDescent="0.3">
      <c r="B40" s="105"/>
      <c r="C40" s="49" t="s">
        <v>83</v>
      </c>
      <c r="D40" s="61" t="str">
        <f>Assumptions!$B$23</f>
        <v>$120,001 - $150,000</v>
      </c>
      <c r="E40" s="49" t="s">
        <v>125</v>
      </c>
      <c r="F40" s="110" t="s">
        <v>98</v>
      </c>
      <c r="G40" s="5"/>
      <c r="H40" s="99">
        <f>_xlfn.XLOOKUP(D40,Assumptions!$B$19:$B$24,Assumptions!$C$19:$C$24)</f>
        <v>135000</v>
      </c>
      <c r="I40" s="52">
        <f>H40/Assumptions!$C$6</f>
        <v>519.23076923076928</v>
      </c>
      <c r="J40" s="110">
        <f>_xlfn.XLOOKUP(F40,Assumptions!$B$28:$B$34,Assumptions!$C$28:$C$34)</f>
        <v>3.5</v>
      </c>
      <c r="L40" s="99">
        <f t="shared" si="0"/>
        <v>1817.3076923076924</v>
      </c>
      <c r="M40" s="93">
        <f t="shared" si="2"/>
        <v>0</v>
      </c>
    </row>
    <row r="41" spans="2:13" x14ac:dyDescent="0.3">
      <c r="B41" s="105"/>
      <c r="C41" s="49" t="s">
        <v>83</v>
      </c>
      <c r="D41" s="61" t="str">
        <f>Assumptions!$B$23</f>
        <v>$120,001 - $150,000</v>
      </c>
      <c r="E41" s="49" t="s">
        <v>125</v>
      </c>
      <c r="F41" s="110" t="s">
        <v>99</v>
      </c>
      <c r="G41" s="5"/>
      <c r="H41" s="98">
        <f>_xlfn.XLOOKUP(D41,Assumptions!$B$19:$B$24,Assumptions!$C$19:$C$24)</f>
        <v>135000</v>
      </c>
      <c r="I41" s="51">
        <f>H41/Assumptions!$C$6</f>
        <v>519.23076923076928</v>
      </c>
      <c r="J41" s="109">
        <f>_xlfn.XLOOKUP(F41,Assumptions!$B$28:$B$34,Assumptions!$C$28:$C$34)</f>
        <v>5.5</v>
      </c>
      <c r="L41" s="98">
        <f t="shared" si="0"/>
        <v>2855.7692307692309</v>
      </c>
      <c r="M41" s="91">
        <f t="shared" si="2"/>
        <v>0</v>
      </c>
    </row>
    <row r="42" spans="2:13" x14ac:dyDescent="0.3">
      <c r="B42" s="105"/>
      <c r="C42" s="49" t="s">
        <v>83</v>
      </c>
      <c r="D42" s="61" t="str">
        <f>Assumptions!$B$23</f>
        <v>$120,001 - $150,000</v>
      </c>
      <c r="E42" s="49" t="s">
        <v>125</v>
      </c>
      <c r="F42" s="110" t="s">
        <v>100</v>
      </c>
      <c r="G42" s="5"/>
      <c r="H42" s="99">
        <f>_xlfn.XLOOKUP(D42,Assumptions!$B$19:$B$24,Assumptions!$C$19:$C$24)</f>
        <v>135000</v>
      </c>
      <c r="I42" s="52">
        <f>H42/Assumptions!$C$6</f>
        <v>519.23076923076928</v>
      </c>
      <c r="J42" s="110">
        <f>_xlfn.XLOOKUP(F42,Assumptions!$B$28:$B$34,Assumptions!$C$28:$C$34)</f>
        <v>7.5</v>
      </c>
      <c r="L42" s="99">
        <f t="shared" si="0"/>
        <v>3894.2307692307695</v>
      </c>
      <c r="M42" s="93">
        <f t="shared" si="2"/>
        <v>0</v>
      </c>
    </row>
    <row r="43" spans="2:13" x14ac:dyDescent="0.3">
      <c r="B43" s="105"/>
      <c r="C43" s="49" t="s">
        <v>83</v>
      </c>
      <c r="D43" s="61" t="str">
        <f>Assumptions!$B$23</f>
        <v>$120,001 - $150,000</v>
      </c>
      <c r="E43" s="49" t="s">
        <v>125</v>
      </c>
      <c r="F43" s="110" t="s">
        <v>101</v>
      </c>
      <c r="G43" s="5"/>
      <c r="H43" s="98">
        <f>_xlfn.XLOOKUP(D43,Assumptions!$B$19:$B$24,Assumptions!$C$19:$C$24)</f>
        <v>135000</v>
      </c>
      <c r="I43" s="51">
        <f>H43/Assumptions!$C$6</f>
        <v>519.23076923076928</v>
      </c>
      <c r="J43" s="109">
        <f>_xlfn.XLOOKUP(F43,Assumptions!$B$28:$B$34,Assumptions!$C$28:$C$34)</f>
        <v>9.5</v>
      </c>
      <c r="L43" s="98">
        <f t="shared" si="0"/>
        <v>4932.6923076923085</v>
      </c>
      <c r="M43" s="91">
        <f t="shared" si="2"/>
        <v>0</v>
      </c>
    </row>
    <row r="44" spans="2:13" x14ac:dyDescent="0.3">
      <c r="B44" s="105"/>
      <c r="C44" s="49" t="s">
        <v>83</v>
      </c>
      <c r="D44" s="61" t="str">
        <f>Assumptions!$B$23</f>
        <v>$120,001 - $150,000</v>
      </c>
      <c r="E44" s="49" t="s">
        <v>125</v>
      </c>
      <c r="F44" s="110" t="s">
        <v>102</v>
      </c>
      <c r="G44" s="5"/>
      <c r="H44" s="99">
        <f>_xlfn.XLOOKUP(D44,Assumptions!$B$19:$B$24,Assumptions!$C$19:$C$24)</f>
        <v>135000</v>
      </c>
      <c r="I44" s="52">
        <f>H44/Assumptions!$C$6</f>
        <v>519.23076923076928</v>
      </c>
      <c r="J44" s="110">
        <f>_xlfn.XLOOKUP(F44,Assumptions!$B$28:$B$34,Assumptions!$C$28:$C$34)</f>
        <v>10</v>
      </c>
      <c r="L44" s="99">
        <f t="shared" si="0"/>
        <v>5192.3076923076933</v>
      </c>
      <c r="M44" s="93">
        <f t="shared" si="2"/>
        <v>0</v>
      </c>
    </row>
    <row r="45" spans="2:13" x14ac:dyDescent="0.3">
      <c r="B45" s="105"/>
      <c r="C45" s="49" t="s">
        <v>83</v>
      </c>
      <c r="D45" s="61" t="str">
        <f>Assumptions!$B$24</f>
        <v>$150,000+</v>
      </c>
      <c r="E45" s="49" t="s">
        <v>125</v>
      </c>
      <c r="F45" s="110" t="s">
        <v>97</v>
      </c>
      <c r="G45" s="5"/>
      <c r="H45" s="98">
        <f>_xlfn.XLOOKUP(D45,Assumptions!$B$19:$B$24,Assumptions!$C$19:$C$24)</f>
        <v>150000</v>
      </c>
      <c r="I45" s="51">
        <f>H45/Assumptions!$C$6</f>
        <v>576.92307692307691</v>
      </c>
      <c r="J45" s="109">
        <f>_xlfn.XLOOKUP(F45,Assumptions!$B$28:$B$34,Assumptions!$C$28:$C$34)</f>
        <v>1.5</v>
      </c>
      <c r="L45" s="98">
        <f t="shared" si="0"/>
        <v>865.38461538461536</v>
      </c>
      <c r="M45" s="91">
        <f t="shared" si="2"/>
        <v>0</v>
      </c>
    </row>
    <row r="46" spans="2:13" x14ac:dyDescent="0.3">
      <c r="B46" s="105"/>
      <c r="C46" s="49" t="s">
        <v>83</v>
      </c>
      <c r="D46" s="61" t="str">
        <f>Assumptions!$B$24</f>
        <v>$150,000+</v>
      </c>
      <c r="E46" s="49" t="s">
        <v>125</v>
      </c>
      <c r="F46" s="110" t="s">
        <v>98</v>
      </c>
      <c r="G46" s="5"/>
      <c r="H46" s="99">
        <f>_xlfn.XLOOKUP(D46,Assumptions!$B$19:$B$24,Assumptions!$C$19:$C$24)</f>
        <v>150000</v>
      </c>
      <c r="I46" s="52">
        <f>H46/Assumptions!$C$6</f>
        <v>576.92307692307691</v>
      </c>
      <c r="J46" s="110">
        <f>_xlfn.XLOOKUP(F46,Assumptions!$B$28:$B$34,Assumptions!$C$28:$C$34)</f>
        <v>3.5</v>
      </c>
      <c r="L46" s="99">
        <f t="shared" si="0"/>
        <v>2019.2307692307691</v>
      </c>
      <c r="M46" s="93">
        <f t="shared" si="2"/>
        <v>0</v>
      </c>
    </row>
    <row r="47" spans="2:13" x14ac:dyDescent="0.3">
      <c r="B47" s="105"/>
      <c r="C47" s="49" t="s">
        <v>83</v>
      </c>
      <c r="D47" s="61" t="str">
        <f>Assumptions!$B$24</f>
        <v>$150,000+</v>
      </c>
      <c r="E47" s="49" t="s">
        <v>125</v>
      </c>
      <c r="F47" s="110" t="s">
        <v>99</v>
      </c>
      <c r="G47" s="5"/>
      <c r="H47" s="98">
        <f>_xlfn.XLOOKUP(D47,Assumptions!$B$19:$B$24,Assumptions!$C$19:$C$24)</f>
        <v>150000</v>
      </c>
      <c r="I47" s="51">
        <f>H47/Assumptions!$C$6</f>
        <v>576.92307692307691</v>
      </c>
      <c r="J47" s="109">
        <f>_xlfn.XLOOKUP(F47,Assumptions!$B$28:$B$34,Assumptions!$C$28:$C$34)</f>
        <v>5.5</v>
      </c>
      <c r="L47" s="98">
        <f t="shared" si="0"/>
        <v>3173.0769230769229</v>
      </c>
      <c r="M47" s="91">
        <f t="shared" si="2"/>
        <v>0</v>
      </c>
    </row>
    <row r="48" spans="2:13" x14ac:dyDescent="0.3">
      <c r="B48" s="105"/>
      <c r="C48" s="49" t="s">
        <v>83</v>
      </c>
      <c r="D48" s="61" t="str">
        <f>Assumptions!$B$24</f>
        <v>$150,000+</v>
      </c>
      <c r="E48" s="49" t="s">
        <v>125</v>
      </c>
      <c r="F48" s="110" t="s">
        <v>100</v>
      </c>
      <c r="G48" s="5"/>
      <c r="H48" s="99">
        <f>_xlfn.XLOOKUP(D48,Assumptions!$B$19:$B$24,Assumptions!$C$19:$C$24)</f>
        <v>150000</v>
      </c>
      <c r="I48" s="73">
        <f>H48/Assumptions!$C$6</f>
        <v>576.92307692307691</v>
      </c>
      <c r="J48" s="110">
        <f>_xlfn.XLOOKUP(F48,Assumptions!$B$28:$B$34,Assumptions!$C$28:$C$34)</f>
        <v>7.5</v>
      </c>
      <c r="L48" s="99">
        <f t="shared" si="0"/>
        <v>4326.9230769230771</v>
      </c>
      <c r="M48" s="119">
        <f t="shared" si="2"/>
        <v>0</v>
      </c>
    </row>
    <row r="49" spans="1:13" x14ac:dyDescent="0.3">
      <c r="B49" s="105"/>
      <c r="C49" s="49" t="s">
        <v>83</v>
      </c>
      <c r="D49" s="61" t="str">
        <f>Assumptions!$B$24</f>
        <v>$150,000+</v>
      </c>
      <c r="E49" s="49" t="s">
        <v>125</v>
      </c>
      <c r="F49" s="110" t="s">
        <v>101</v>
      </c>
      <c r="G49" s="5"/>
      <c r="H49" s="99">
        <f>_xlfn.XLOOKUP(D49,Assumptions!$B$19:$B$24,Assumptions!$C$19:$C$24)</f>
        <v>150000</v>
      </c>
      <c r="I49" s="73">
        <f>H49/Assumptions!$C$6</f>
        <v>576.92307692307691</v>
      </c>
      <c r="J49" s="110">
        <f>_xlfn.XLOOKUP(F49,Assumptions!$B$28:$B$34,Assumptions!$C$28:$C$34)</f>
        <v>9.5</v>
      </c>
      <c r="L49" s="99">
        <f t="shared" si="0"/>
        <v>5480.7692307692305</v>
      </c>
      <c r="M49" s="119">
        <f t="shared" si="2"/>
        <v>0</v>
      </c>
    </row>
    <row r="50" spans="1:13" x14ac:dyDescent="0.3">
      <c r="B50" s="105"/>
      <c r="C50" s="49" t="s">
        <v>83</v>
      </c>
      <c r="D50" s="61" t="str">
        <f>Assumptions!$B$24</f>
        <v>$150,000+</v>
      </c>
      <c r="E50" s="49" t="s">
        <v>125</v>
      </c>
      <c r="F50" s="110" t="s">
        <v>102</v>
      </c>
      <c r="G50" s="5"/>
      <c r="H50" s="99">
        <f>_xlfn.XLOOKUP(D50,Assumptions!$B$19:$B$24,Assumptions!$C$19:$C$24)</f>
        <v>150000</v>
      </c>
      <c r="I50" s="73">
        <f>H50/Assumptions!$C$6</f>
        <v>576.92307692307691</v>
      </c>
      <c r="J50" s="110">
        <f>_xlfn.XLOOKUP(F50,Assumptions!$B$28:$B$34,Assumptions!$C$28:$C$34)</f>
        <v>10</v>
      </c>
      <c r="L50" s="99">
        <f t="shared" si="0"/>
        <v>5769.2307692307695</v>
      </c>
      <c r="M50" s="119">
        <f t="shared" si="2"/>
        <v>0</v>
      </c>
    </row>
    <row r="51" spans="1:13" x14ac:dyDescent="0.3">
      <c r="B51" s="105"/>
      <c r="C51" s="49" t="s">
        <v>84</v>
      </c>
      <c r="D51" s="61" t="str">
        <f>Assumptions!$B$19</f>
        <v>$0 - $30,000</v>
      </c>
      <c r="E51" s="49" t="s">
        <v>125</v>
      </c>
      <c r="F51" s="110" t="s">
        <v>97</v>
      </c>
      <c r="G51" s="5"/>
      <c r="H51" s="99">
        <f>_xlfn.XLOOKUP(D51,Assumptions!$B$19:$B$24,Assumptions!$C$19:$C$24)</f>
        <v>15000</v>
      </c>
      <c r="I51" s="73">
        <f>H51/Assumptions!$C$6</f>
        <v>57.692307692307693</v>
      </c>
      <c r="J51" s="110">
        <f>_xlfn.XLOOKUP(F51,Assumptions!$B$28:$B$34,Assumptions!$C$28:$C$34)</f>
        <v>1.5</v>
      </c>
      <c r="L51" s="99">
        <f t="shared" ref="L51:L86" si="3">I51*J51</f>
        <v>86.538461538461547</v>
      </c>
      <c r="M51" s="119">
        <f t="shared" ref="M51:M68" si="4">L51*B51</f>
        <v>0</v>
      </c>
    </row>
    <row r="52" spans="1:13" x14ac:dyDescent="0.3">
      <c r="A52" s="6"/>
      <c r="B52" s="105"/>
      <c r="C52" s="49" t="s">
        <v>84</v>
      </c>
      <c r="D52" s="61" t="str">
        <f>Assumptions!$B$19</f>
        <v>$0 - $30,000</v>
      </c>
      <c r="E52" s="49" t="s">
        <v>125</v>
      </c>
      <c r="F52" s="110" t="s">
        <v>98</v>
      </c>
      <c r="G52" s="5"/>
      <c r="H52" s="99">
        <f>_xlfn.XLOOKUP(D52,Assumptions!$B$19:$B$24,Assumptions!$C$19:$C$24)</f>
        <v>15000</v>
      </c>
      <c r="I52" s="73">
        <f>H52/Assumptions!$C$6</f>
        <v>57.692307692307693</v>
      </c>
      <c r="J52" s="110">
        <f>_xlfn.XLOOKUP(F52,Assumptions!$B$28:$B$34,Assumptions!$C$28:$C$34)</f>
        <v>3.5</v>
      </c>
      <c r="L52" s="99">
        <f t="shared" si="3"/>
        <v>201.92307692307693</v>
      </c>
      <c r="M52" s="119">
        <f t="shared" si="4"/>
        <v>0</v>
      </c>
    </row>
    <row r="53" spans="1:13" x14ac:dyDescent="0.3">
      <c r="B53" s="105"/>
      <c r="C53" s="49" t="s">
        <v>84</v>
      </c>
      <c r="D53" s="61" t="str">
        <f>Assumptions!$B$19</f>
        <v>$0 - $30,000</v>
      </c>
      <c r="E53" s="49" t="s">
        <v>125</v>
      </c>
      <c r="F53" s="110" t="s">
        <v>99</v>
      </c>
      <c r="G53" s="5"/>
      <c r="H53" s="99">
        <f>_xlfn.XLOOKUP(D53,Assumptions!$B$19:$B$24,Assumptions!$C$19:$C$24)</f>
        <v>15000</v>
      </c>
      <c r="I53" s="73">
        <f>H53/Assumptions!$C$6</f>
        <v>57.692307692307693</v>
      </c>
      <c r="J53" s="110">
        <f>_xlfn.XLOOKUP(F53,Assumptions!$B$28:$B$34,Assumptions!$C$28:$C$34)</f>
        <v>5.5</v>
      </c>
      <c r="L53" s="99">
        <f t="shared" si="3"/>
        <v>317.30769230769232</v>
      </c>
      <c r="M53" s="119">
        <f t="shared" si="4"/>
        <v>0</v>
      </c>
    </row>
    <row r="54" spans="1:13" x14ac:dyDescent="0.3">
      <c r="B54" s="105"/>
      <c r="C54" s="49" t="s">
        <v>84</v>
      </c>
      <c r="D54" s="61" t="str">
        <f>Assumptions!$B$19</f>
        <v>$0 - $30,000</v>
      </c>
      <c r="E54" s="49" t="s">
        <v>125</v>
      </c>
      <c r="F54" s="110" t="s">
        <v>100</v>
      </c>
      <c r="G54" s="5"/>
      <c r="H54" s="99">
        <f>_xlfn.XLOOKUP(D54,Assumptions!$B$19:$B$24,Assumptions!$C$19:$C$24)</f>
        <v>15000</v>
      </c>
      <c r="I54" s="73">
        <f>H54/Assumptions!$C$6</f>
        <v>57.692307692307693</v>
      </c>
      <c r="J54" s="110">
        <f>_xlfn.XLOOKUP(F54,Assumptions!$B$28:$B$34,Assumptions!$C$28:$C$34)</f>
        <v>7.5</v>
      </c>
      <c r="L54" s="99">
        <f t="shared" si="3"/>
        <v>432.69230769230768</v>
      </c>
      <c r="M54" s="119">
        <f t="shared" si="4"/>
        <v>0</v>
      </c>
    </row>
    <row r="55" spans="1:13" x14ac:dyDescent="0.3">
      <c r="B55" s="105"/>
      <c r="C55" s="49" t="s">
        <v>84</v>
      </c>
      <c r="D55" s="61" t="str">
        <f>Assumptions!$B$19</f>
        <v>$0 - $30,000</v>
      </c>
      <c r="E55" s="49" t="s">
        <v>125</v>
      </c>
      <c r="F55" s="110" t="s">
        <v>101</v>
      </c>
      <c r="G55" s="5"/>
      <c r="H55" s="99">
        <f>_xlfn.XLOOKUP(D55,Assumptions!$B$19:$B$24,Assumptions!$C$19:$C$24)</f>
        <v>15000</v>
      </c>
      <c r="I55" s="73">
        <f>H55/Assumptions!$C$6</f>
        <v>57.692307692307693</v>
      </c>
      <c r="J55" s="110">
        <f>_xlfn.XLOOKUP(F55,Assumptions!$B$28:$B$34,Assumptions!$C$28:$C$34)</f>
        <v>9.5</v>
      </c>
      <c r="L55" s="99">
        <f t="shared" si="3"/>
        <v>548.07692307692309</v>
      </c>
      <c r="M55" s="119">
        <f t="shared" si="4"/>
        <v>0</v>
      </c>
    </row>
    <row r="56" spans="1:13" x14ac:dyDescent="0.3">
      <c r="B56" s="105"/>
      <c r="C56" s="49" t="s">
        <v>84</v>
      </c>
      <c r="D56" s="61" t="str">
        <f>Assumptions!$B$19</f>
        <v>$0 - $30,000</v>
      </c>
      <c r="E56" s="49" t="s">
        <v>125</v>
      </c>
      <c r="F56" s="110" t="s">
        <v>102</v>
      </c>
      <c r="G56" s="5"/>
      <c r="H56" s="99">
        <f>_xlfn.XLOOKUP(D56,Assumptions!$B$19:$B$24,Assumptions!$C$19:$C$24)</f>
        <v>15000</v>
      </c>
      <c r="I56" s="73">
        <f>H56/Assumptions!$C$6</f>
        <v>57.692307692307693</v>
      </c>
      <c r="J56" s="110">
        <f>_xlfn.XLOOKUP(F56,Assumptions!$B$28:$B$34,Assumptions!$C$28:$C$34)</f>
        <v>10</v>
      </c>
      <c r="L56" s="99">
        <f t="shared" si="3"/>
        <v>576.92307692307691</v>
      </c>
      <c r="M56" s="119">
        <f t="shared" si="4"/>
        <v>0</v>
      </c>
    </row>
    <row r="57" spans="1:13" x14ac:dyDescent="0.3">
      <c r="B57" s="105"/>
      <c r="C57" s="49" t="s">
        <v>84</v>
      </c>
      <c r="D57" s="61" t="str">
        <f>Assumptions!$B$20</f>
        <v>$30,001 - $60,000</v>
      </c>
      <c r="E57" s="49" t="s">
        <v>125</v>
      </c>
      <c r="F57" s="110" t="s">
        <v>97</v>
      </c>
      <c r="G57" s="5"/>
      <c r="H57" s="98">
        <f>_xlfn.XLOOKUP(D57,Assumptions!$B$19:$B$24,Assumptions!$C$19:$C$24)</f>
        <v>45000</v>
      </c>
      <c r="I57" s="51">
        <f>H57/Assumptions!$C$6</f>
        <v>173.07692307692307</v>
      </c>
      <c r="J57" s="109">
        <f>_xlfn.XLOOKUP(F57,Assumptions!$B$28:$B$34,Assumptions!$C$28:$C$34)</f>
        <v>1.5</v>
      </c>
      <c r="L57" s="99">
        <f t="shared" si="3"/>
        <v>259.61538461538458</v>
      </c>
      <c r="M57" s="119">
        <f t="shared" si="4"/>
        <v>0</v>
      </c>
    </row>
    <row r="58" spans="1:13" x14ac:dyDescent="0.3">
      <c r="B58" s="105"/>
      <c r="C58" s="49" t="s">
        <v>84</v>
      </c>
      <c r="D58" s="61" t="str">
        <f>Assumptions!$B$20</f>
        <v>$30,001 - $60,000</v>
      </c>
      <c r="E58" s="49" t="s">
        <v>125</v>
      </c>
      <c r="F58" s="110" t="s">
        <v>98</v>
      </c>
      <c r="G58" s="5"/>
      <c r="H58" s="99">
        <f>_xlfn.XLOOKUP(D58,Assumptions!$B$19:$B$24,Assumptions!$C$19:$C$24)</f>
        <v>45000</v>
      </c>
      <c r="I58" s="52">
        <f>H58/Assumptions!$C$6</f>
        <v>173.07692307692307</v>
      </c>
      <c r="J58" s="110">
        <f>_xlfn.XLOOKUP(F58,Assumptions!$B$28:$B$34,Assumptions!$C$28:$C$34)</f>
        <v>3.5</v>
      </c>
      <c r="L58" s="99">
        <f t="shared" si="3"/>
        <v>605.76923076923072</v>
      </c>
      <c r="M58" s="119">
        <f t="shared" si="4"/>
        <v>0</v>
      </c>
    </row>
    <row r="59" spans="1:13" x14ac:dyDescent="0.3">
      <c r="B59" s="105"/>
      <c r="C59" s="49" t="s">
        <v>84</v>
      </c>
      <c r="D59" s="61" t="str">
        <f>Assumptions!$B$20</f>
        <v>$30,001 - $60,000</v>
      </c>
      <c r="E59" s="49" t="s">
        <v>125</v>
      </c>
      <c r="F59" s="110" t="s">
        <v>99</v>
      </c>
      <c r="G59" s="5"/>
      <c r="H59" s="98">
        <f>_xlfn.XLOOKUP(D59,Assumptions!$B$19:$B$24,Assumptions!$C$19:$C$24)</f>
        <v>45000</v>
      </c>
      <c r="I59" s="51">
        <f>H59/Assumptions!$C$6</f>
        <v>173.07692307692307</v>
      </c>
      <c r="J59" s="109">
        <f>_xlfn.XLOOKUP(F59,Assumptions!$B$28:$B$34,Assumptions!$C$28:$C$34)</f>
        <v>5.5</v>
      </c>
      <c r="L59" s="99">
        <f t="shared" si="3"/>
        <v>951.92307692307691</v>
      </c>
      <c r="M59" s="119">
        <f t="shared" si="4"/>
        <v>0</v>
      </c>
    </row>
    <row r="60" spans="1:13" x14ac:dyDescent="0.3">
      <c r="B60" s="105"/>
      <c r="C60" s="49" t="s">
        <v>84</v>
      </c>
      <c r="D60" s="61" t="str">
        <f>Assumptions!$B$20</f>
        <v>$30,001 - $60,000</v>
      </c>
      <c r="E60" s="49" t="s">
        <v>125</v>
      </c>
      <c r="F60" s="110" t="s">
        <v>100</v>
      </c>
      <c r="G60" s="5"/>
      <c r="H60" s="99">
        <f>_xlfn.XLOOKUP(D60,Assumptions!$B$19:$B$24,Assumptions!$C$19:$C$24)</f>
        <v>45000</v>
      </c>
      <c r="I60" s="52">
        <f>H60/Assumptions!$C$6</f>
        <v>173.07692307692307</v>
      </c>
      <c r="J60" s="110">
        <f>_xlfn.XLOOKUP(F60,Assumptions!$B$28:$B$34,Assumptions!$C$28:$C$34)</f>
        <v>7.5</v>
      </c>
      <c r="L60" s="99">
        <f t="shared" si="3"/>
        <v>1298.0769230769231</v>
      </c>
      <c r="M60" s="93">
        <f t="shared" si="4"/>
        <v>0</v>
      </c>
    </row>
    <row r="61" spans="1:13" x14ac:dyDescent="0.3">
      <c r="B61" s="105"/>
      <c r="C61" s="49" t="s">
        <v>84</v>
      </c>
      <c r="D61" s="61" t="str">
        <f>Assumptions!$B$20</f>
        <v>$30,001 - $60,000</v>
      </c>
      <c r="E61" s="49" t="s">
        <v>125</v>
      </c>
      <c r="F61" s="110" t="s">
        <v>101</v>
      </c>
      <c r="G61" s="5"/>
      <c r="H61" s="98">
        <f>_xlfn.XLOOKUP(D61,Assumptions!$B$19:$B$24,Assumptions!$C$19:$C$24)</f>
        <v>45000</v>
      </c>
      <c r="I61" s="51">
        <f>H61/Assumptions!$C$6</f>
        <v>173.07692307692307</v>
      </c>
      <c r="J61" s="109">
        <f>_xlfn.XLOOKUP(F61,Assumptions!$B$28:$B$34,Assumptions!$C$28:$C$34)</f>
        <v>9.5</v>
      </c>
      <c r="L61" s="98">
        <f t="shared" si="3"/>
        <v>1644.2307692307691</v>
      </c>
      <c r="M61" s="91">
        <f t="shared" si="4"/>
        <v>0</v>
      </c>
    </row>
    <row r="62" spans="1:13" x14ac:dyDescent="0.3">
      <c r="B62" s="105"/>
      <c r="C62" s="49" t="s">
        <v>84</v>
      </c>
      <c r="D62" s="61" t="str">
        <f>Assumptions!$B$20</f>
        <v>$30,001 - $60,000</v>
      </c>
      <c r="E62" s="49" t="s">
        <v>125</v>
      </c>
      <c r="F62" s="110" t="s">
        <v>102</v>
      </c>
      <c r="G62" s="5"/>
      <c r="H62" s="99">
        <f>_xlfn.XLOOKUP(D62,Assumptions!$B$19:$B$24,Assumptions!$C$19:$C$24)</f>
        <v>45000</v>
      </c>
      <c r="I62" s="52">
        <f>H62/Assumptions!$C$6</f>
        <v>173.07692307692307</v>
      </c>
      <c r="J62" s="110">
        <f>_xlfn.XLOOKUP(F62,Assumptions!$B$28:$B$34,Assumptions!$C$28:$C$34)</f>
        <v>10</v>
      </c>
      <c r="L62" s="99">
        <f t="shared" si="3"/>
        <v>1730.7692307692307</v>
      </c>
      <c r="M62" s="93">
        <f t="shared" si="4"/>
        <v>0</v>
      </c>
    </row>
    <row r="63" spans="1:13" x14ac:dyDescent="0.3">
      <c r="B63" s="105"/>
      <c r="C63" s="49" t="s">
        <v>84</v>
      </c>
      <c r="D63" s="61" t="str">
        <f>Assumptions!$B$21</f>
        <v>$60,001 - $90,000</v>
      </c>
      <c r="E63" s="49" t="s">
        <v>125</v>
      </c>
      <c r="F63" s="110" t="s">
        <v>97</v>
      </c>
      <c r="G63" s="5"/>
      <c r="H63" s="98">
        <f>_xlfn.XLOOKUP(D63,Assumptions!$B$19:$B$24,Assumptions!$C$19:$C$24)</f>
        <v>75000</v>
      </c>
      <c r="I63" s="51">
        <f>H63/Assumptions!$C$6</f>
        <v>288.46153846153845</v>
      </c>
      <c r="J63" s="109">
        <f>_xlfn.XLOOKUP(F63,Assumptions!$B$28:$B$34,Assumptions!$C$28:$C$34)</f>
        <v>1.5</v>
      </c>
      <c r="L63" s="98">
        <f t="shared" si="3"/>
        <v>432.69230769230768</v>
      </c>
      <c r="M63" s="91">
        <f t="shared" si="4"/>
        <v>0</v>
      </c>
    </row>
    <row r="64" spans="1:13" x14ac:dyDescent="0.3">
      <c r="B64" s="106"/>
      <c r="C64" s="49" t="s">
        <v>84</v>
      </c>
      <c r="D64" s="61" t="str">
        <f>Assumptions!$B$21</f>
        <v>$60,001 - $90,000</v>
      </c>
      <c r="E64" s="49" t="s">
        <v>125</v>
      </c>
      <c r="F64" s="110" t="s">
        <v>98</v>
      </c>
      <c r="G64" s="5"/>
      <c r="H64" s="99">
        <f>_xlfn.XLOOKUP(D64,Assumptions!$B$19:$B$24,Assumptions!$C$19:$C$24)</f>
        <v>75000</v>
      </c>
      <c r="I64" s="52">
        <f>H64/Assumptions!$C$6</f>
        <v>288.46153846153845</v>
      </c>
      <c r="J64" s="110">
        <f>_xlfn.XLOOKUP(F64,Assumptions!$B$28:$B$34,Assumptions!$C$28:$C$34)</f>
        <v>3.5</v>
      </c>
      <c r="L64" s="99">
        <f t="shared" si="3"/>
        <v>1009.6153846153845</v>
      </c>
      <c r="M64" s="93">
        <f t="shared" si="4"/>
        <v>0</v>
      </c>
    </row>
    <row r="65" spans="2:13" x14ac:dyDescent="0.3">
      <c r="B65" s="106"/>
      <c r="C65" s="49" t="s">
        <v>84</v>
      </c>
      <c r="D65" s="61" t="str">
        <f>Assumptions!$B$21</f>
        <v>$60,001 - $90,000</v>
      </c>
      <c r="E65" s="49" t="s">
        <v>125</v>
      </c>
      <c r="F65" s="110" t="s">
        <v>99</v>
      </c>
      <c r="G65" s="5"/>
      <c r="H65" s="98">
        <f>_xlfn.XLOOKUP(D65,Assumptions!$B$19:$B$24,Assumptions!$C$19:$C$24)</f>
        <v>75000</v>
      </c>
      <c r="I65" s="51">
        <f>H65/Assumptions!$C$6</f>
        <v>288.46153846153845</v>
      </c>
      <c r="J65" s="109">
        <f>_xlfn.XLOOKUP(F65,Assumptions!$B$28:$B$34,Assumptions!$C$28:$C$34)</f>
        <v>5.5</v>
      </c>
      <c r="L65" s="98">
        <f t="shared" si="3"/>
        <v>1586.5384615384614</v>
      </c>
      <c r="M65" s="91">
        <f t="shared" si="4"/>
        <v>0</v>
      </c>
    </row>
    <row r="66" spans="2:13" x14ac:dyDescent="0.3">
      <c r="B66" s="105"/>
      <c r="C66" s="49" t="s">
        <v>84</v>
      </c>
      <c r="D66" s="61" t="str">
        <f>Assumptions!$B$21</f>
        <v>$60,001 - $90,000</v>
      </c>
      <c r="E66" s="49" t="s">
        <v>125</v>
      </c>
      <c r="F66" s="110" t="s">
        <v>100</v>
      </c>
      <c r="G66" s="5"/>
      <c r="H66" s="99">
        <f>_xlfn.XLOOKUP(D66,Assumptions!$B$19:$B$24,Assumptions!$C$19:$C$24)</f>
        <v>75000</v>
      </c>
      <c r="I66" s="52">
        <f>H66/Assumptions!$C$6</f>
        <v>288.46153846153845</v>
      </c>
      <c r="J66" s="110">
        <f>_xlfn.XLOOKUP(F66,Assumptions!$B$28:$B$34,Assumptions!$C$28:$C$34)</f>
        <v>7.5</v>
      </c>
      <c r="L66" s="99">
        <f t="shared" si="3"/>
        <v>2163.4615384615386</v>
      </c>
      <c r="M66" s="93">
        <f t="shared" si="4"/>
        <v>0</v>
      </c>
    </row>
    <row r="67" spans="2:13" x14ac:dyDescent="0.3">
      <c r="B67" s="106"/>
      <c r="C67" s="49" t="s">
        <v>84</v>
      </c>
      <c r="D67" s="61" t="str">
        <f>Assumptions!$B$21</f>
        <v>$60,001 - $90,000</v>
      </c>
      <c r="E67" s="49" t="s">
        <v>125</v>
      </c>
      <c r="F67" s="110" t="s">
        <v>101</v>
      </c>
      <c r="G67" s="5"/>
      <c r="H67" s="98">
        <f>_xlfn.XLOOKUP(D67,Assumptions!$B$19:$B$24,Assumptions!$C$19:$C$24)</f>
        <v>75000</v>
      </c>
      <c r="I67" s="51">
        <f>H67/Assumptions!$C$6</f>
        <v>288.46153846153845</v>
      </c>
      <c r="J67" s="109">
        <f>_xlfn.XLOOKUP(F67,Assumptions!$B$28:$B$34,Assumptions!$C$28:$C$34)</f>
        <v>9.5</v>
      </c>
      <c r="L67" s="98">
        <f t="shared" si="3"/>
        <v>2740.3846153846152</v>
      </c>
      <c r="M67" s="91">
        <f t="shared" si="4"/>
        <v>0</v>
      </c>
    </row>
    <row r="68" spans="2:13" x14ac:dyDescent="0.3">
      <c r="B68" s="106"/>
      <c r="C68" s="49" t="s">
        <v>84</v>
      </c>
      <c r="D68" s="61" t="str">
        <f>Assumptions!$B$21</f>
        <v>$60,001 - $90,000</v>
      </c>
      <c r="E68" s="49" t="s">
        <v>125</v>
      </c>
      <c r="F68" s="110" t="s">
        <v>102</v>
      </c>
      <c r="G68" s="5"/>
      <c r="H68" s="99">
        <f>_xlfn.XLOOKUP(D68,Assumptions!$B$19:$B$24,Assumptions!$C$19:$C$24)</f>
        <v>75000</v>
      </c>
      <c r="I68" s="52">
        <f>H68/Assumptions!$C$6</f>
        <v>288.46153846153845</v>
      </c>
      <c r="J68" s="110">
        <f>_xlfn.XLOOKUP(F68,Assumptions!$B$28:$B$34,Assumptions!$C$28:$C$34)</f>
        <v>10</v>
      </c>
      <c r="L68" s="99">
        <f t="shared" si="3"/>
        <v>2884.6153846153848</v>
      </c>
      <c r="M68" s="93">
        <f t="shared" si="4"/>
        <v>0</v>
      </c>
    </row>
    <row r="69" spans="2:13" x14ac:dyDescent="0.3">
      <c r="B69" s="105"/>
      <c r="C69" s="49" t="s">
        <v>84</v>
      </c>
      <c r="D69" s="61" t="str">
        <f>Assumptions!$B$22</f>
        <v>$90,001 - $120,000</v>
      </c>
      <c r="E69" s="49" t="s">
        <v>125</v>
      </c>
      <c r="F69" s="110" t="s">
        <v>97</v>
      </c>
      <c r="G69" s="5"/>
      <c r="H69" s="98">
        <f>_xlfn.XLOOKUP(D69,Assumptions!$B$19:$B$24,Assumptions!$C$19:$C$24)</f>
        <v>105000</v>
      </c>
      <c r="I69" s="51">
        <f>H69/Assumptions!$C$6</f>
        <v>403.84615384615387</v>
      </c>
      <c r="J69" s="109">
        <f>_xlfn.XLOOKUP(F69,Assumptions!$B$28:$B$34,Assumptions!$C$28:$C$34)</f>
        <v>1.5</v>
      </c>
      <c r="L69" s="98">
        <f t="shared" si="3"/>
        <v>605.76923076923083</v>
      </c>
      <c r="M69" s="91">
        <f t="shared" ref="M69:M86" si="5">L69*B69</f>
        <v>0</v>
      </c>
    </row>
    <row r="70" spans="2:13" x14ac:dyDescent="0.3">
      <c r="B70" s="106"/>
      <c r="C70" s="49" t="s">
        <v>84</v>
      </c>
      <c r="D70" s="61" t="str">
        <f>Assumptions!$B$22</f>
        <v>$90,001 - $120,000</v>
      </c>
      <c r="E70" s="49" t="s">
        <v>125</v>
      </c>
      <c r="F70" s="110" t="s">
        <v>98</v>
      </c>
      <c r="G70" s="5"/>
      <c r="H70" s="99">
        <f>_xlfn.XLOOKUP(D70,Assumptions!$B$19:$B$24,Assumptions!$C$19:$C$24)</f>
        <v>105000</v>
      </c>
      <c r="I70" s="52">
        <f>H70/Assumptions!$C$6</f>
        <v>403.84615384615387</v>
      </c>
      <c r="J70" s="110">
        <f>_xlfn.XLOOKUP(F70,Assumptions!$B$28:$B$34,Assumptions!$C$28:$C$34)</f>
        <v>3.5</v>
      </c>
      <c r="L70" s="99">
        <f t="shared" si="3"/>
        <v>1413.4615384615386</v>
      </c>
      <c r="M70" s="93">
        <f t="shared" si="5"/>
        <v>0</v>
      </c>
    </row>
    <row r="71" spans="2:13" x14ac:dyDescent="0.3">
      <c r="B71" s="106"/>
      <c r="C71" s="49" t="s">
        <v>84</v>
      </c>
      <c r="D71" s="61" t="str">
        <f>Assumptions!$B$22</f>
        <v>$90,001 - $120,000</v>
      </c>
      <c r="E71" s="49" t="s">
        <v>125</v>
      </c>
      <c r="F71" s="110" t="s">
        <v>99</v>
      </c>
      <c r="G71" s="5"/>
      <c r="H71" s="98">
        <f>_xlfn.XLOOKUP(D71,Assumptions!$B$19:$B$24,Assumptions!$C$19:$C$24)</f>
        <v>105000</v>
      </c>
      <c r="I71" s="51">
        <f>H71/Assumptions!$C$6</f>
        <v>403.84615384615387</v>
      </c>
      <c r="J71" s="109">
        <f>_xlfn.XLOOKUP(F71,Assumptions!$B$28:$B$34,Assumptions!$C$28:$C$34)</f>
        <v>5.5</v>
      </c>
      <c r="L71" s="98">
        <f t="shared" si="3"/>
        <v>2221.1538461538462</v>
      </c>
      <c r="M71" s="91">
        <f t="shared" si="5"/>
        <v>0</v>
      </c>
    </row>
    <row r="72" spans="2:13" x14ac:dyDescent="0.3">
      <c r="B72" s="105"/>
      <c r="C72" s="49" t="s">
        <v>84</v>
      </c>
      <c r="D72" s="61" t="str">
        <f>Assumptions!$B$22</f>
        <v>$90,001 - $120,000</v>
      </c>
      <c r="E72" s="49" t="s">
        <v>125</v>
      </c>
      <c r="F72" s="110" t="s">
        <v>100</v>
      </c>
      <c r="G72" s="5"/>
      <c r="H72" s="99">
        <f>_xlfn.XLOOKUP(D72,Assumptions!$B$19:$B$24,Assumptions!$C$19:$C$24)</f>
        <v>105000</v>
      </c>
      <c r="I72" s="52">
        <f>H72/Assumptions!$C$6</f>
        <v>403.84615384615387</v>
      </c>
      <c r="J72" s="110">
        <f>_xlfn.XLOOKUP(F72,Assumptions!$B$28:$B$34,Assumptions!$C$28:$C$34)</f>
        <v>7.5</v>
      </c>
      <c r="L72" s="99">
        <f t="shared" si="3"/>
        <v>3028.8461538461538</v>
      </c>
      <c r="M72" s="93">
        <f t="shared" si="5"/>
        <v>0</v>
      </c>
    </row>
    <row r="73" spans="2:13" x14ac:dyDescent="0.3">
      <c r="B73" s="106"/>
      <c r="C73" s="49" t="s">
        <v>84</v>
      </c>
      <c r="D73" s="61" t="str">
        <f>Assumptions!$B$22</f>
        <v>$90,001 - $120,000</v>
      </c>
      <c r="E73" s="49" t="s">
        <v>125</v>
      </c>
      <c r="F73" s="110" t="s">
        <v>101</v>
      </c>
      <c r="G73" s="5"/>
      <c r="H73" s="98">
        <f>_xlfn.XLOOKUP(D73,Assumptions!$B$19:$B$24,Assumptions!$C$19:$C$24)</f>
        <v>105000</v>
      </c>
      <c r="I73" s="51">
        <f>H73/Assumptions!$C$6</f>
        <v>403.84615384615387</v>
      </c>
      <c r="J73" s="109">
        <f>_xlfn.XLOOKUP(F73,Assumptions!$B$28:$B$34,Assumptions!$C$28:$C$34)</f>
        <v>9.5</v>
      </c>
      <c r="L73" s="98">
        <f t="shared" si="3"/>
        <v>3836.5384615384619</v>
      </c>
      <c r="M73" s="91">
        <f t="shared" si="5"/>
        <v>0</v>
      </c>
    </row>
    <row r="74" spans="2:13" x14ac:dyDescent="0.3">
      <c r="B74" s="106"/>
      <c r="C74" s="49" t="s">
        <v>84</v>
      </c>
      <c r="D74" s="61" t="str">
        <f>Assumptions!$B$22</f>
        <v>$90,001 - $120,000</v>
      </c>
      <c r="E74" s="49" t="s">
        <v>125</v>
      </c>
      <c r="F74" s="110" t="s">
        <v>102</v>
      </c>
      <c r="G74" s="5"/>
      <c r="H74" s="99">
        <f>_xlfn.XLOOKUP(D74,Assumptions!$B$19:$B$24,Assumptions!$C$19:$C$24)</f>
        <v>105000</v>
      </c>
      <c r="I74" s="52">
        <f>H74/Assumptions!$C$6</f>
        <v>403.84615384615387</v>
      </c>
      <c r="J74" s="110">
        <f>_xlfn.XLOOKUP(F74,Assumptions!$B$28:$B$34,Assumptions!$C$28:$C$34)</f>
        <v>10</v>
      </c>
      <c r="L74" s="99">
        <f t="shared" si="3"/>
        <v>4038.4615384615386</v>
      </c>
      <c r="M74" s="93">
        <f t="shared" si="5"/>
        <v>0</v>
      </c>
    </row>
    <row r="75" spans="2:13" x14ac:dyDescent="0.3">
      <c r="B75" s="105"/>
      <c r="C75" s="49" t="s">
        <v>84</v>
      </c>
      <c r="D75" s="61" t="str">
        <f>Assumptions!$B$23</f>
        <v>$120,001 - $150,000</v>
      </c>
      <c r="E75" s="49" t="s">
        <v>125</v>
      </c>
      <c r="F75" s="110" t="s">
        <v>97</v>
      </c>
      <c r="G75" s="5"/>
      <c r="H75" s="98">
        <f>_xlfn.XLOOKUP(D75,Assumptions!$B$19:$B$24,Assumptions!$C$19:$C$24)</f>
        <v>135000</v>
      </c>
      <c r="I75" s="51">
        <f>H75/Assumptions!$C$6</f>
        <v>519.23076923076928</v>
      </c>
      <c r="J75" s="109">
        <f>_xlfn.XLOOKUP(F75,Assumptions!$B$28:$B$34,Assumptions!$C$28:$C$34)</f>
        <v>1.5</v>
      </c>
      <c r="L75" s="98">
        <f t="shared" si="3"/>
        <v>778.84615384615392</v>
      </c>
      <c r="M75" s="91">
        <f t="shared" si="5"/>
        <v>0</v>
      </c>
    </row>
    <row r="76" spans="2:13" x14ac:dyDescent="0.3">
      <c r="B76" s="106"/>
      <c r="C76" s="49" t="s">
        <v>84</v>
      </c>
      <c r="D76" s="61" t="str">
        <f>Assumptions!$B$23</f>
        <v>$120,001 - $150,000</v>
      </c>
      <c r="E76" s="49" t="s">
        <v>125</v>
      </c>
      <c r="F76" s="110" t="s">
        <v>98</v>
      </c>
      <c r="G76" s="5"/>
      <c r="H76" s="99">
        <f>_xlfn.XLOOKUP(D76,Assumptions!$B$19:$B$24,Assumptions!$C$19:$C$24)</f>
        <v>135000</v>
      </c>
      <c r="I76" s="52">
        <f>H76/Assumptions!$C$6</f>
        <v>519.23076923076928</v>
      </c>
      <c r="J76" s="110">
        <f>_xlfn.XLOOKUP(F76,Assumptions!$B$28:$B$34,Assumptions!$C$28:$C$34)</f>
        <v>3.5</v>
      </c>
      <c r="L76" s="99">
        <f t="shared" si="3"/>
        <v>1817.3076923076924</v>
      </c>
      <c r="M76" s="93">
        <f t="shared" si="5"/>
        <v>0</v>
      </c>
    </row>
    <row r="77" spans="2:13" x14ac:dyDescent="0.3">
      <c r="B77" s="106"/>
      <c r="C77" s="49" t="s">
        <v>84</v>
      </c>
      <c r="D77" s="61" t="str">
        <f>Assumptions!$B$23</f>
        <v>$120,001 - $150,000</v>
      </c>
      <c r="E77" s="49" t="s">
        <v>125</v>
      </c>
      <c r="F77" s="110" t="s">
        <v>99</v>
      </c>
      <c r="G77" s="5"/>
      <c r="H77" s="98">
        <f>_xlfn.XLOOKUP(D77,Assumptions!$B$19:$B$24,Assumptions!$C$19:$C$24)</f>
        <v>135000</v>
      </c>
      <c r="I77" s="51">
        <f>H77/Assumptions!$C$6</f>
        <v>519.23076923076928</v>
      </c>
      <c r="J77" s="109">
        <f>_xlfn.XLOOKUP(F77,Assumptions!$B$28:$B$34,Assumptions!$C$28:$C$34)</f>
        <v>5.5</v>
      </c>
      <c r="L77" s="98">
        <f t="shared" si="3"/>
        <v>2855.7692307692309</v>
      </c>
      <c r="M77" s="91">
        <f t="shared" si="5"/>
        <v>0</v>
      </c>
    </row>
    <row r="78" spans="2:13" x14ac:dyDescent="0.3">
      <c r="B78" s="105"/>
      <c r="C78" s="49" t="s">
        <v>84</v>
      </c>
      <c r="D78" s="61" t="str">
        <f>Assumptions!$B$23</f>
        <v>$120,001 - $150,000</v>
      </c>
      <c r="E78" s="49" t="s">
        <v>125</v>
      </c>
      <c r="F78" s="110" t="s">
        <v>100</v>
      </c>
      <c r="G78" s="5"/>
      <c r="H78" s="99">
        <f>_xlfn.XLOOKUP(D78,Assumptions!$B$19:$B$24,Assumptions!$C$19:$C$24)</f>
        <v>135000</v>
      </c>
      <c r="I78" s="52">
        <f>H78/Assumptions!$C$6</f>
        <v>519.23076923076928</v>
      </c>
      <c r="J78" s="110">
        <f>_xlfn.XLOOKUP(F78,Assumptions!$B$28:$B$34,Assumptions!$C$28:$C$34)</f>
        <v>7.5</v>
      </c>
      <c r="L78" s="99">
        <f t="shared" si="3"/>
        <v>3894.2307692307695</v>
      </c>
      <c r="M78" s="93">
        <f t="shared" si="5"/>
        <v>0</v>
      </c>
    </row>
    <row r="79" spans="2:13" x14ac:dyDescent="0.3">
      <c r="B79" s="106"/>
      <c r="C79" s="49" t="s">
        <v>84</v>
      </c>
      <c r="D79" s="61" t="str">
        <f>Assumptions!$B$23</f>
        <v>$120,001 - $150,000</v>
      </c>
      <c r="E79" s="49" t="s">
        <v>125</v>
      </c>
      <c r="F79" s="110" t="s">
        <v>101</v>
      </c>
      <c r="G79" s="5"/>
      <c r="H79" s="98">
        <f>_xlfn.XLOOKUP(D79,Assumptions!$B$19:$B$24,Assumptions!$C$19:$C$24)</f>
        <v>135000</v>
      </c>
      <c r="I79" s="51">
        <f>H79/Assumptions!$C$6</f>
        <v>519.23076923076928</v>
      </c>
      <c r="J79" s="109">
        <f>_xlfn.XLOOKUP(F79,Assumptions!$B$28:$B$34,Assumptions!$C$28:$C$34)</f>
        <v>9.5</v>
      </c>
      <c r="L79" s="98">
        <f t="shared" si="3"/>
        <v>4932.6923076923085</v>
      </c>
      <c r="M79" s="91">
        <f t="shared" si="5"/>
        <v>0</v>
      </c>
    </row>
    <row r="80" spans="2:13" x14ac:dyDescent="0.3">
      <c r="B80" s="106"/>
      <c r="C80" s="49" t="s">
        <v>84</v>
      </c>
      <c r="D80" s="61" t="str">
        <f>Assumptions!$B$23</f>
        <v>$120,001 - $150,000</v>
      </c>
      <c r="E80" s="49" t="s">
        <v>125</v>
      </c>
      <c r="F80" s="110" t="s">
        <v>102</v>
      </c>
      <c r="G80" s="5"/>
      <c r="H80" s="99">
        <f>_xlfn.XLOOKUP(D80,Assumptions!$B$19:$B$24,Assumptions!$C$19:$C$24)</f>
        <v>135000</v>
      </c>
      <c r="I80" s="52">
        <f>H80/Assumptions!$C$6</f>
        <v>519.23076923076928</v>
      </c>
      <c r="J80" s="110">
        <f>_xlfn.XLOOKUP(F80,Assumptions!$B$28:$B$34,Assumptions!$C$28:$C$34)</f>
        <v>10</v>
      </c>
      <c r="L80" s="99">
        <f t="shared" si="3"/>
        <v>5192.3076923076933</v>
      </c>
      <c r="M80" s="93">
        <f t="shared" si="5"/>
        <v>0</v>
      </c>
    </row>
    <row r="81" spans="2:13" x14ac:dyDescent="0.3">
      <c r="B81" s="105"/>
      <c r="C81" s="49" t="s">
        <v>84</v>
      </c>
      <c r="D81" s="61" t="str">
        <f>Assumptions!$B$24</f>
        <v>$150,000+</v>
      </c>
      <c r="E81" s="49" t="s">
        <v>125</v>
      </c>
      <c r="F81" s="110" t="s">
        <v>97</v>
      </c>
      <c r="G81" s="5"/>
      <c r="H81" s="98">
        <f>_xlfn.XLOOKUP(D81,Assumptions!$B$19:$B$24,Assumptions!$C$19:$C$24)</f>
        <v>150000</v>
      </c>
      <c r="I81" s="51">
        <f>H81/Assumptions!$C$6</f>
        <v>576.92307692307691</v>
      </c>
      <c r="J81" s="109">
        <f>_xlfn.XLOOKUP(F81,Assumptions!$B$28:$B$34,Assumptions!$C$28:$C$34)</f>
        <v>1.5</v>
      </c>
      <c r="L81" s="98">
        <f t="shared" si="3"/>
        <v>865.38461538461536</v>
      </c>
      <c r="M81" s="91">
        <f t="shared" si="5"/>
        <v>0</v>
      </c>
    </row>
    <row r="82" spans="2:13" x14ac:dyDescent="0.3">
      <c r="B82" s="106"/>
      <c r="C82" s="49" t="s">
        <v>84</v>
      </c>
      <c r="D82" s="61" t="str">
        <f>Assumptions!$B$24</f>
        <v>$150,000+</v>
      </c>
      <c r="E82" s="49" t="s">
        <v>125</v>
      </c>
      <c r="F82" s="110" t="s">
        <v>98</v>
      </c>
      <c r="G82" s="5"/>
      <c r="H82" s="99">
        <f>_xlfn.XLOOKUP(D82,Assumptions!$B$19:$B$24,Assumptions!$C$19:$C$24)</f>
        <v>150000</v>
      </c>
      <c r="I82" s="52">
        <f>H82/Assumptions!$C$6</f>
        <v>576.92307692307691</v>
      </c>
      <c r="J82" s="110">
        <f>_xlfn.XLOOKUP(F82,Assumptions!$B$28:$B$34,Assumptions!$C$28:$C$34)</f>
        <v>3.5</v>
      </c>
      <c r="L82" s="99">
        <f t="shared" si="3"/>
        <v>2019.2307692307691</v>
      </c>
      <c r="M82" s="93">
        <f t="shared" si="5"/>
        <v>0</v>
      </c>
    </row>
    <row r="83" spans="2:13" x14ac:dyDescent="0.3">
      <c r="B83" s="106"/>
      <c r="C83" s="49" t="s">
        <v>84</v>
      </c>
      <c r="D83" s="61" t="str">
        <f>Assumptions!$B$24</f>
        <v>$150,000+</v>
      </c>
      <c r="E83" s="49" t="s">
        <v>125</v>
      </c>
      <c r="F83" s="110" t="s">
        <v>99</v>
      </c>
      <c r="G83" s="5"/>
      <c r="H83" s="98">
        <f>_xlfn.XLOOKUP(D83,Assumptions!$B$19:$B$24,Assumptions!$C$19:$C$24)</f>
        <v>150000</v>
      </c>
      <c r="I83" s="51">
        <f>H83/Assumptions!$C$6</f>
        <v>576.92307692307691</v>
      </c>
      <c r="J83" s="109">
        <f>_xlfn.XLOOKUP(F83,Assumptions!$B$28:$B$34,Assumptions!$C$28:$C$34)</f>
        <v>5.5</v>
      </c>
      <c r="L83" s="98">
        <f t="shared" si="3"/>
        <v>3173.0769230769229</v>
      </c>
      <c r="M83" s="91">
        <f t="shared" si="5"/>
        <v>0</v>
      </c>
    </row>
    <row r="84" spans="2:13" x14ac:dyDescent="0.3">
      <c r="B84" s="105"/>
      <c r="C84" s="49" t="s">
        <v>84</v>
      </c>
      <c r="D84" s="61" t="str">
        <f>Assumptions!$B$24</f>
        <v>$150,000+</v>
      </c>
      <c r="E84" s="49" t="s">
        <v>125</v>
      </c>
      <c r="F84" s="110" t="s">
        <v>100</v>
      </c>
      <c r="G84" s="5"/>
      <c r="H84" s="99">
        <f>_xlfn.XLOOKUP(D84,Assumptions!$B$19:$B$24,Assumptions!$C$19:$C$24)</f>
        <v>150000</v>
      </c>
      <c r="I84" s="52">
        <f>H84/Assumptions!$C$6</f>
        <v>576.92307692307691</v>
      </c>
      <c r="J84" s="110">
        <f>_xlfn.XLOOKUP(F84,Assumptions!$B$28:$B$34,Assumptions!$C$28:$C$34)</f>
        <v>7.5</v>
      </c>
      <c r="L84" s="99">
        <f t="shared" si="3"/>
        <v>4326.9230769230771</v>
      </c>
      <c r="M84" s="93">
        <f t="shared" si="5"/>
        <v>0</v>
      </c>
    </row>
    <row r="85" spans="2:13" x14ac:dyDescent="0.3">
      <c r="B85" s="106"/>
      <c r="C85" s="49" t="s">
        <v>84</v>
      </c>
      <c r="D85" s="61" t="str">
        <f>Assumptions!$B$24</f>
        <v>$150,000+</v>
      </c>
      <c r="E85" s="49" t="s">
        <v>125</v>
      </c>
      <c r="F85" s="110" t="s">
        <v>101</v>
      </c>
      <c r="G85" s="5"/>
      <c r="H85" s="98">
        <f>_xlfn.XLOOKUP(D85,Assumptions!$B$19:$B$24,Assumptions!$C$19:$C$24)</f>
        <v>150000</v>
      </c>
      <c r="I85" s="51">
        <f>H85/Assumptions!$C$6</f>
        <v>576.92307692307691</v>
      </c>
      <c r="J85" s="109">
        <f>_xlfn.XLOOKUP(F85,Assumptions!$B$28:$B$34,Assumptions!$C$28:$C$34)</f>
        <v>9.5</v>
      </c>
      <c r="L85" s="98">
        <f t="shared" si="3"/>
        <v>5480.7692307692305</v>
      </c>
      <c r="M85" s="91">
        <f t="shared" si="5"/>
        <v>0</v>
      </c>
    </row>
    <row r="86" spans="2:13" ht="15" thickBot="1" x14ac:dyDescent="0.35">
      <c r="B86" s="111"/>
      <c r="C86" s="69" t="s">
        <v>84</v>
      </c>
      <c r="D86" s="70" t="str">
        <f>Assumptions!$B$24</f>
        <v>$150,000+</v>
      </c>
      <c r="E86" s="69" t="s">
        <v>125</v>
      </c>
      <c r="F86" s="112" t="s">
        <v>102</v>
      </c>
      <c r="G86" s="5"/>
      <c r="H86" s="100">
        <f>_xlfn.XLOOKUP(D86,Assumptions!$B$19:$B$24,Assumptions!$C$19:$C$24)</f>
        <v>150000</v>
      </c>
      <c r="I86" s="116">
        <f>H86/Assumptions!$C$6</f>
        <v>576.92307692307691</v>
      </c>
      <c r="J86" s="112">
        <f>_xlfn.XLOOKUP(F86,Assumptions!$B$28:$B$34,Assumptions!$C$28:$C$34)</f>
        <v>10</v>
      </c>
      <c r="L86" s="100">
        <f t="shared" si="3"/>
        <v>5769.2307692307695</v>
      </c>
      <c r="M86" s="95">
        <f t="shared" si="5"/>
        <v>0</v>
      </c>
    </row>
  </sheetData>
  <sheetProtection algorithmName="SHA-512" hashValue="EG+KKaV124sM4Lkdujx3WSj5Jsncyax9HGfnd3rJeWXBJIgDJVv6dWmLVqmK8nc0gLkFsxWlOf1ViYTWqvZjkA==" saltValue="HJrkOLBiq12NsDBpYN4pIA==" spinCount="100000" sheet="1" objects="1" scenarios="1"/>
  <phoneticPr fontId="6" type="noConversion"/>
  <hyperlinks>
    <hyperlink ref="A1" location="INSTRUCTIONS!A1" display="Instructions" xr:uid="{05F32D17-1D7E-4E46-97A4-E10B9880B3F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A70128935E8A4895B9CF5836D43F1A" ma:contentTypeVersion="11" ma:contentTypeDescription="Create a new document." ma:contentTypeScope="" ma:versionID="e452786df0ee2942136888e208ee14b4">
  <xsd:schema xmlns:xsd="http://www.w3.org/2001/XMLSchema" xmlns:xs="http://www.w3.org/2001/XMLSchema" xmlns:p="http://schemas.microsoft.com/office/2006/metadata/properties" xmlns:ns2="12629b19-366e-41c7-af18-7083be73f347" xmlns:ns3="45a54814-5d1b-4f26-8f81-f1ecdf21f8b7" targetNamespace="http://schemas.microsoft.com/office/2006/metadata/properties" ma:root="true" ma:fieldsID="6f22895055d1cce70206846045c7a88d" ns2:_="" ns3:_="">
    <xsd:import namespace="12629b19-366e-41c7-af18-7083be73f347"/>
    <xsd:import namespace="45a54814-5d1b-4f26-8f81-f1ecdf21f8b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29b19-366e-41c7-af18-7083be73f3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1edaf98-933d-48b7-9af8-6bdbb703d06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a54814-5d1b-4f26-8f81-f1ecdf21f8b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ccebe3d-85aa-4a9f-bf2e-3f70185907ae}" ma:internalName="TaxCatchAll" ma:showField="CatchAllData" ma:web="45a54814-5d1b-4f26-8f81-f1ecdf21f8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2629b19-366e-41c7-af18-7083be73f347">
      <Terms xmlns="http://schemas.microsoft.com/office/infopath/2007/PartnerControls"/>
    </lcf76f155ced4ddcb4097134ff3c332f>
    <TaxCatchAll xmlns="45a54814-5d1b-4f26-8f81-f1ecdf21f8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494A5F-6597-49F6-A2B5-D5FFC1B4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29b19-366e-41c7-af18-7083be73f347"/>
    <ds:schemaRef ds:uri="45a54814-5d1b-4f26-8f81-f1ecdf21f8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660D84-B3D3-4D15-A04D-53AF36C5B497}">
  <ds:schemaRefs>
    <ds:schemaRef ds:uri="http://schemas.microsoft.com/office/2006/metadata/properties"/>
    <ds:schemaRef ds:uri="http://schemas.microsoft.com/office/infopath/2007/PartnerControls"/>
    <ds:schemaRef ds:uri="12629b19-366e-41c7-af18-7083be73f347"/>
    <ds:schemaRef ds:uri="45a54814-5d1b-4f26-8f81-f1ecdf21f8b7"/>
  </ds:schemaRefs>
</ds:datastoreItem>
</file>

<file path=customXml/itemProps3.xml><?xml version="1.0" encoding="utf-8"?>
<ds:datastoreItem xmlns:ds="http://schemas.openxmlformats.org/officeDocument/2006/customXml" ds:itemID="{E2847C8D-277F-459E-AD26-AAD8A7637F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OVERVIEW</vt:lpstr>
      <vt:lpstr>OUTPUTS</vt:lpstr>
      <vt:lpstr>CALCULATIONS</vt:lpstr>
      <vt:lpstr>INPUTS&amp;ASSUMPTIONS-&gt;</vt:lpstr>
      <vt:lpstr>Assumptions</vt:lpstr>
      <vt:lpstr>Inputs</vt:lpstr>
      <vt:lpstr>Survey input_Retention</vt:lpstr>
      <vt:lpstr>Survey input_Productivity_A</vt:lpstr>
      <vt:lpstr>Survey input_Productivity_B</vt:lpstr>
    </vt:vector>
  </TitlesOfParts>
  <Manager/>
  <Company>BCG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Tyler</dc:creator>
  <cp:keywords/>
  <dc:description/>
  <cp:lastModifiedBy>Joseph, Tyler</cp:lastModifiedBy>
  <cp:revision/>
  <dcterms:created xsi:type="dcterms:W3CDTF">2024-05-09T14:28:43Z</dcterms:created>
  <dcterms:modified xsi:type="dcterms:W3CDTF">2024-05-21T17:22:40Z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2024-05-09T14:29:42Z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5823a286-82c1-4190-a12d-7adce08e4d33</vt:lpwstr>
  </property>
  <property fmtid="{D5CDD505-2E9C-101B-9397-08002B2CF9AE}" pid="8" name="MSIP_Label_b0d5c4f4-7a29-4385-b7a5-afbe2154ae6f_ContentBits">
    <vt:lpwstr>0</vt:lpwstr>
  </property>
  <property fmtid="{D5CDD505-2E9C-101B-9397-08002B2CF9AE}" pid="9" name="MediaServiceImageTags">
    <vt:lpwstr/>
  </property>
  <property fmtid="{D5CDD505-2E9C-101B-9397-08002B2CF9AE}" pid="10" name="ContentTypeId">
    <vt:lpwstr>0x01010072A70128935E8A4895B9CF5836D43F1A</vt:lpwstr>
  </property>
</Properties>
</file>